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SON\Desktop\"/>
    </mc:Choice>
  </mc:AlternateContent>
  <bookViews>
    <workbookView xWindow="0" yWindow="0" windowWidth="20490" windowHeight="7650"/>
  </bookViews>
  <sheets>
    <sheet name="ACTA" sheetId="1" r:id="rId1"/>
  </sheets>
  <externalReferences>
    <externalReference r:id="rId2"/>
  </externalReferences>
  <definedNames>
    <definedName name="_xlnm.Print_Area" localSheetId="0">ACTA!$B$1:$M$89</definedName>
    <definedName name="_xlnm.Print_Titles" localSheetId="0">ACTA!$1:$9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C87" i="1"/>
  <c r="C86" i="1"/>
  <c r="O77" i="1"/>
  <c r="I77" i="1"/>
  <c r="G77" i="1"/>
  <c r="O76" i="1"/>
  <c r="O75" i="1"/>
  <c r="D71" i="1"/>
  <c r="M64" i="1"/>
  <c r="I64" i="1"/>
  <c r="O63" i="1"/>
  <c r="K63" i="1"/>
  <c r="L62" i="1"/>
  <c r="O62" i="1" s="1"/>
  <c r="K62" i="1"/>
  <c r="I62" i="1"/>
  <c r="H62" i="1"/>
  <c r="G62" i="1"/>
  <c r="K61" i="1"/>
  <c r="H61" i="1"/>
  <c r="L61" i="1" s="1"/>
  <c r="G61" i="1"/>
  <c r="K60" i="1"/>
  <c r="I60" i="1"/>
  <c r="H60" i="1"/>
  <c r="L60" i="1" s="1"/>
  <c r="G60" i="1"/>
  <c r="K59" i="1"/>
  <c r="H59" i="1"/>
  <c r="L59" i="1" s="1"/>
  <c r="G59" i="1"/>
  <c r="K58" i="1"/>
  <c r="H58" i="1"/>
  <c r="L58" i="1" s="1"/>
  <c r="G58" i="1"/>
  <c r="O57" i="1"/>
  <c r="M57" i="1"/>
  <c r="L57" i="1"/>
  <c r="K57" i="1"/>
  <c r="I57" i="1"/>
  <c r="H57" i="1"/>
  <c r="G57" i="1"/>
  <c r="K56" i="1"/>
  <c r="H56" i="1"/>
  <c r="L56" i="1" s="1"/>
  <c r="G56" i="1"/>
  <c r="M55" i="1"/>
  <c r="L55" i="1"/>
  <c r="O55" i="1" s="1"/>
  <c r="K55" i="1"/>
  <c r="I55" i="1"/>
  <c r="H55" i="1"/>
  <c r="G55" i="1"/>
  <c r="L54" i="1"/>
  <c r="O54" i="1" s="1"/>
  <c r="K54" i="1"/>
  <c r="I54" i="1"/>
  <c r="H54" i="1"/>
  <c r="G54" i="1"/>
  <c r="K53" i="1"/>
  <c r="H53" i="1"/>
  <c r="L53" i="1" s="1"/>
  <c r="G53" i="1"/>
  <c r="K52" i="1"/>
  <c r="I52" i="1"/>
  <c r="H52" i="1"/>
  <c r="L52" i="1" s="1"/>
  <c r="G52" i="1"/>
  <c r="K51" i="1"/>
  <c r="H51" i="1"/>
  <c r="L51" i="1" s="1"/>
  <c r="G51" i="1"/>
  <c r="K50" i="1"/>
  <c r="H50" i="1"/>
  <c r="L50" i="1" s="1"/>
  <c r="G50" i="1"/>
  <c r="O49" i="1"/>
  <c r="M49" i="1"/>
  <c r="L49" i="1"/>
  <c r="K49" i="1"/>
  <c r="I49" i="1"/>
  <c r="H49" i="1"/>
  <c r="G49" i="1"/>
  <c r="K48" i="1"/>
  <c r="H48" i="1"/>
  <c r="L48" i="1" s="1"/>
  <c r="G48" i="1"/>
  <c r="M47" i="1"/>
  <c r="L47" i="1"/>
  <c r="O47" i="1" s="1"/>
  <c r="K47" i="1"/>
  <c r="I47" i="1"/>
  <c r="H47" i="1"/>
  <c r="G47" i="1"/>
  <c r="L46" i="1"/>
  <c r="O46" i="1" s="1"/>
  <c r="K46" i="1"/>
  <c r="I46" i="1"/>
  <c r="H46" i="1"/>
  <c r="G46" i="1"/>
  <c r="K45" i="1"/>
  <c r="K44" i="1" s="1"/>
  <c r="H45" i="1"/>
  <c r="L45" i="1" s="1"/>
  <c r="G45" i="1"/>
  <c r="G44" i="1" s="1"/>
  <c r="K43" i="1"/>
  <c r="H43" i="1"/>
  <c r="L43" i="1" s="1"/>
  <c r="G43" i="1"/>
  <c r="K42" i="1"/>
  <c r="G42" i="1"/>
  <c r="K41" i="1"/>
  <c r="H41" i="1"/>
  <c r="L41" i="1" s="1"/>
  <c r="G41" i="1"/>
  <c r="K40" i="1"/>
  <c r="K38" i="1" s="1"/>
  <c r="I40" i="1"/>
  <c r="H40" i="1"/>
  <c r="L40" i="1" s="1"/>
  <c r="G40" i="1"/>
  <c r="G38" i="1" s="1"/>
  <c r="O39" i="1"/>
  <c r="M39" i="1"/>
  <c r="L39" i="1"/>
  <c r="K39" i="1"/>
  <c r="I39" i="1"/>
  <c r="H39" i="1"/>
  <c r="G39" i="1"/>
  <c r="K37" i="1"/>
  <c r="I37" i="1"/>
  <c r="H37" i="1"/>
  <c r="L37" i="1" s="1"/>
  <c r="G37" i="1"/>
  <c r="K36" i="1"/>
  <c r="H36" i="1"/>
  <c r="L36" i="1" s="1"/>
  <c r="G36" i="1"/>
  <c r="K35" i="1"/>
  <c r="I35" i="1"/>
  <c r="H35" i="1"/>
  <c r="L35" i="1" s="1"/>
  <c r="G35" i="1"/>
  <c r="O34" i="1"/>
  <c r="M34" i="1"/>
  <c r="L34" i="1"/>
  <c r="K34" i="1"/>
  <c r="I34" i="1"/>
  <c r="H34" i="1"/>
  <c r="G34" i="1"/>
  <c r="K33" i="1"/>
  <c r="H33" i="1"/>
  <c r="L33" i="1" s="1"/>
  <c r="G33" i="1"/>
  <c r="M32" i="1"/>
  <c r="L32" i="1"/>
  <c r="O32" i="1" s="1"/>
  <c r="K32" i="1"/>
  <c r="I32" i="1"/>
  <c r="H32" i="1"/>
  <c r="G32" i="1"/>
  <c r="L31" i="1"/>
  <c r="O31" i="1" s="1"/>
  <c r="K31" i="1"/>
  <c r="I31" i="1"/>
  <c r="H31" i="1"/>
  <c r="G31" i="1"/>
  <c r="K30" i="1"/>
  <c r="H30" i="1"/>
  <c r="L30" i="1" s="1"/>
  <c r="G30" i="1"/>
  <c r="K29" i="1"/>
  <c r="I29" i="1"/>
  <c r="H29" i="1"/>
  <c r="L29" i="1" s="1"/>
  <c r="G29" i="1"/>
  <c r="K28" i="1"/>
  <c r="H28" i="1"/>
  <c r="L28" i="1" s="1"/>
  <c r="G28" i="1"/>
  <c r="K27" i="1"/>
  <c r="K26" i="1" s="1"/>
  <c r="I27" i="1"/>
  <c r="H27" i="1"/>
  <c r="L27" i="1" s="1"/>
  <c r="G27" i="1"/>
  <c r="G26" i="1" s="1"/>
  <c r="K25" i="1"/>
  <c r="K24" i="1" s="1"/>
  <c r="H25" i="1"/>
  <c r="L25" i="1" s="1"/>
  <c r="G25" i="1"/>
  <c r="G24" i="1" s="1"/>
  <c r="K23" i="1"/>
  <c r="H23" i="1"/>
  <c r="L23" i="1" s="1"/>
  <c r="G23" i="1"/>
  <c r="K22" i="1"/>
  <c r="G22" i="1"/>
  <c r="K21" i="1"/>
  <c r="H21" i="1"/>
  <c r="L21" i="1" s="1"/>
  <c r="G21" i="1"/>
  <c r="K20" i="1"/>
  <c r="K19" i="1" s="1"/>
  <c r="I20" i="1"/>
  <c r="H20" i="1"/>
  <c r="L20" i="1" s="1"/>
  <c r="G20" i="1"/>
  <c r="G19" i="1" s="1"/>
  <c r="K18" i="1"/>
  <c r="H18" i="1"/>
  <c r="L18" i="1" s="1"/>
  <c r="G18" i="1"/>
  <c r="K17" i="1"/>
  <c r="I17" i="1"/>
  <c r="H17" i="1"/>
  <c r="L17" i="1" s="1"/>
  <c r="G17" i="1"/>
  <c r="K16" i="1"/>
  <c r="H16" i="1"/>
  <c r="L16" i="1" s="1"/>
  <c r="G16" i="1"/>
  <c r="K15" i="1"/>
  <c r="I15" i="1"/>
  <c r="H15" i="1"/>
  <c r="L15" i="1" s="1"/>
  <c r="G15" i="1"/>
  <c r="O14" i="1"/>
  <c r="M14" i="1"/>
  <c r="L14" i="1"/>
  <c r="K14" i="1"/>
  <c r="I14" i="1"/>
  <c r="H14" i="1"/>
  <c r="G14" i="1"/>
  <c r="K13" i="1"/>
  <c r="H13" i="1"/>
  <c r="I13" i="1" s="1"/>
  <c r="G13" i="1"/>
  <c r="M12" i="1"/>
  <c r="L12" i="1"/>
  <c r="O12" i="1" s="1"/>
  <c r="K12" i="1"/>
  <c r="I12" i="1"/>
  <c r="H12" i="1"/>
  <c r="G12" i="1"/>
  <c r="L11" i="1"/>
  <c r="O11" i="1" s="1"/>
  <c r="K11" i="1"/>
  <c r="K10" i="1" s="1"/>
  <c r="K65" i="1" s="1"/>
  <c r="I11" i="1"/>
  <c r="H11" i="1"/>
  <c r="G11" i="1"/>
  <c r="G10" i="1"/>
  <c r="O20" i="1" l="1"/>
  <c r="M20" i="1"/>
  <c r="O45" i="1"/>
  <c r="M45" i="1"/>
  <c r="M17" i="1"/>
  <c r="O17" i="1"/>
  <c r="O37" i="1"/>
  <c r="M37" i="1"/>
  <c r="O15" i="1"/>
  <c r="M15" i="1"/>
  <c r="O35" i="1"/>
  <c r="M35" i="1"/>
  <c r="O53" i="1"/>
  <c r="M53" i="1"/>
  <c r="O58" i="1"/>
  <c r="M58" i="1"/>
  <c r="O33" i="1"/>
  <c r="M33" i="1"/>
  <c r="O50" i="1"/>
  <c r="M50" i="1"/>
  <c r="O60" i="1"/>
  <c r="M60" i="1"/>
  <c r="O30" i="1"/>
  <c r="M30" i="1"/>
  <c r="G65" i="1"/>
  <c r="O28" i="1"/>
  <c r="M28" i="1"/>
  <c r="O51" i="1"/>
  <c r="M51" i="1"/>
  <c r="K66" i="1"/>
  <c r="K79" i="1"/>
  <c r="O27" i="1"/>
  <c r="M27" i="1"/>
  <c r="O25" i="1"/>
  <c r="M25" i="1"/>
  <c r="M24" i="1" s="1"/>
  <c r="O18" i="1"/>
  <c r="M18" i="1"/>
  <c r="O43" i="1"/>
  <c r="M43" i="1"/>
  <c r="M42" i="1" s="1"/>
  <c r="O59" i="1"/>
  <c r="M59" i="1"/>
  <c r="O41" i="1"/>
  <c r="M41" i="1"/>
  <c r="O56" i="1"/>
  <c r="M56" i="1"/>
  <c r="O23" i="1"/>
  <c r="M23" i="1"/>
  <c r="M22" i="1" s="1"/>
  <c r="O21" i="1"/>
  <c r="M21" i="1"/>
  <c r="O40" i="1"/>
  <c r="M40" i="1"/>
  <c r="M38" i="1" s="1"/>
  <c r="O61" i="1"/>
  <c r="M61" i="1"/>
  <c r="O16" i="1"/>
  <c r="M16" i="1"/>
  <c r="M29" i="1"/>
  <c r="O29" i="1"/>
  <c r="O36" i="1"/>
  <c r="M36" i="1"/>
  <c r="O48" i="1"/>
  <c r="M48" i="1"/>
  <c r="O52" i="1"/>
  <c r="M52" i="1"/>
  <c r="L13" i="1"/>
  <c r="I18" i="1"/>
  <c r="I10" i="1" s="1"/>
  <c r="I25" i="1"/>
  <c r="I24" i="1" s="1"/>
  <c r="I30" i="1"/>
  <c r="I45" i="1"/>
  <c r="I53" i="1"/>
  <c r="I61" i="1"/>
  <c r="M11" i="1"/>
  <c r="I16" i="1"/>
  <c r="I21" i="1"/>
  <c r="I19" i="1" s="1"/>
  <c r="I28" i="1"/>
  <c r="M31" i="1"/>
  <c r="I36" i="1"/>
  <c r="I41" i="1"/>
  <c r="I38" i="1" s="1"/>
  <c r="M46" i="1"/>
  <c r="I51" i="1"/>
  <c r="M54" i="1"/>
  <c r="I59" i="1"/>
  <c r="M62" i="1"/>
  <c r="I50" i="1"/>
  <c r="I58" i="1"/>
  <c r="I23" i="1"/>
  <c r="I22" i="1" s="1"/>
  <c r="I33" i="1"/>
  <c r="I43" i="1"/>
  <c r="I42" i="1" s="1"/>
  <c r="I48" i="1"/>
  <c r="I56" i="1"/>
  <c r="G79" i="1" l="1"/>
  <c r="N79" i="1" s="1"/>
  <c r="G66" i="1"/>
  <c r="I44" i="1"/>
  <c r="K69" i="1"/>
  <c r="K70" i="1"/>
  <c r="K68" i="1"/>
  <c r="K71" i="1" s="1"/>
  <c r="I26" i="1"/>
  <c r="I65" i="1" s="1"/>
  <c r="M26" i="1"/>
  <c r="M44" i="1"/>
  <c r="O13" i="1"/>
  <c r="O80" i="1" s="1"/>
  <c r="M13" i="1"/>
  <c r="M10" i="1" s="1"/>
  <c r="M65" i="1" s="1"/>
  <c r="M19" i="1"/>
  <c r="I79" i="1" l="1"/>
  <c r="I66" i="1"/>
  <c r="M66" i="1"/>
  <c r="M79" i="1"/>
  <c r="O79" i="1" s="1"/>
  <c r="G69" i="1"/>
  <c r="G70" i="1"/>
  <c r="G68" i="1"/>
  <c r="G71" i="1" l="1"/>
  <c r="M69" i="1"/>
  <c r="M70" i="1"/>
  <c r="M68" i="1"/>
  <c r="I69" i="1"/>
  <c r="I70" i="1"/>
  <c r="I68" i="1"/>
  <c r="I71" i="1" s="1"/>
  <c r="M71" i="1" l="1"/>
</calcChain>
</file>

<file path=xl/sharedStrings.xml><?xml version="1.0" encoding="utf-8"?>
<sst xmlns="http://schemas.openxmlformats.org/spreadsheetml/2006/main" count="181" uniqueCount="140">
  <si>
    <t>GOBERNACION DE ANTIOQUIA</t>
  </si>
  <si>
    <t>SECRETARIA DE INFRAESTRUCTURA FISICA</t>
  </si>
  <si>
    <t>OBJETO: MEJORAMIENTO DE LA VÍA SOFÍA- YOLOMBÓ EN LA SUBREGION NORDESTE DEL DEPARTAMENTO DE ANTIOQUIA</t>
  </si>
  <si>
    <t>CANTIDADES DE OBRA EJECUTADA AL 30/09/2021</t>
  </si>
  <si>
    <t xml:space="preserve">CONDICION INICIAL </t>
  </si>
  <si>
    <t>CONDICION ACTUALIZADA (ACTA 05)</t>
  </si>
  <si>
    <t xml:space="preserve">ACUMULADO EJECUTADO </t>
  </si>
  <si>
    <t>SALDO</t>
  </si>
  <si>
    <t>ITEM</t>
  </si>
  <si>
    <t>DESCRIPCION</t>
  </si>
  <si>
    <t>UND</t>
  </si>
  <si>
    <t>VALOR UNITARIO + A.I.U</t>
  </si>
  <si>
    <t>CANTIDAD</t>
  </si>
  <si>
    <t>VALOR TOTAL</t>
  </si>
  <si>
    <t>SALDO &lt;= CONTRATO</t>
  </si>
  <si>
    <t>GRUPO 1 - OBRAS PRELIMINARES</t>
  </si>
  <si>
    <t>1.4</t>
  </si>
  <si>
    <t>Excavación sin clasificar de la explanación, canales y préstamos. No incluye botada.</t>
  </si>
  <si>
    <t>m3</t>
  </si>
  <si>
    <t>1.6.2</t>
  </si>
  <si>
    <t>Derecho de botadero</t>
  </si>
  <si>
    <t>1.13</t>
  </si>
  <si>
    <t>Lleno manual compactado con material de excavación</t>
  </si>
  <si>
    <t>1.14</t>
  </si>
  <si>
    <t>Lleno mecánico compactado con material de la excavación</t>
  </si>
  <si>
    <t>1.14.1</t>
  </si>
  <si>
    <t>Lleno mecánico compactado con material de préstamo</t>
  </si>
  <si>
    <t>6.41</t>
  </si>
  <si>
    <t>Rocería, incluye botada y disposición adecuada de material sobrante</t>
  </si>
  <si>
    <t>Ha</t>
  </si>
  <si>
    <t>1.18</t>
  </si>
  <si>
    <t>Mejoramiento de la Subrasante involucrando suelo existente</t>
  </si>
  <si>
    <t>m2</t>
  </si>
  <si>
    <t>1.29</t>
  </si>
  <si>
    <t>Descapote terreno natural incluye transporte y bote de material</t>
  </si>
  <si>
    <t>GRUPO 2 - AFIRMADO, SUB BASESS Y BASES GRANULARES</t>
  </si>
  <si>
    <t>2.1</t>
  </si>
  <si>
    <t>Suministro, colocación, conformación y compactación de material de la zona para afirmado. No incluye transporte.</t>
  </si>
  <si>
    <t>2.6</t>
  </si>
  <si>
    <t>Suministro, colocación, conformación y compactación de Base. No incluye transporte.</t>
  </si>
  <si>
    <t>GRUPO 3 - MOVIMIENTO DE TIERRA Y MATERIALES</t>
  </si>
  <si>
    <t>3.4</t>
  </si>
  <si>
    <t>Transporte de materiales provenientes de la excavación de la explanación, canales, préstamos y materiales de afirmado, sub-base, base y mezcla asfáltica para distancias mayores de tres mil metros (3000). Material compacto.</t>
  </si>
  <si>
    <t>m3-km</t>
  </si>
  <si>
    <t>GRUPO 4 - ACERO Y ELEMENTOS METALICOS</t>
  </si>
  <si>
    <t>4.1</t>
  </si>
  <si>
    <t>Suministro transporte y colocación de acero de refuerzo fy=420 Mpa (Grado60)</t>
  </si>
  <si>
    <t>Kg</t>
  </si>
  <si>
    <t>GRUPO 6 - CONCRETO, MORTEROS Y OBRAS VARIAS</t>
  </si>
  <si>
    <t>6.1.2</t>
  </si>
  <si>
    <t>Excavaciones varias en roca en seco. Se pagara como roca compacta. ( sin dinamita)</t>
  </si>
  <si>
    <t>6.2</t>
  </si>
  <si>
    <t>Excavaciones estructurales varias en material común en seco, incluye entibado. No incluye transporte botada.</t>
  </si>
  <si>
    <t>6.25</t>
  </si>
  <si>
    <t>Concreto clase D ( muros, disipadores, aletas 210 kg/cm2)</t>
  </si>
  <si>
    <t>6.28</t>
  </si>
  <si>
    <t>Concreto claseF (140 kg/cm2)</t>
  </si>
  <si>
    <t>6.35</t>
  </si>
  <si>
    <t>Concreto 21 Mpa - Box Coulvert losa inferior</t>
  </si>
  <si>
    <t>6.36</t>
  </si>
  <si>
    <t>Concreto 21 Mpa - Box Coulvert losa superior y muros laterales</t>
  </si>
  <si>
    <t>6.42</t>
  </si>
  <si>
    <t>Limpieza de obras transversales, incluye acarreo interno de todos los sedimentos, escombros, material vegetal y demás elementos extraños que se encuentren obstruyendo la obra.</t>
  </si>
  <si>
    <t>Und</t>
  </si>
  <si>
    <t>6.44</t>
  </si>
  <si>
    <t>Relleno material filtrante 1y1/2" incluye suministro, transporte y colocación</t>
  </si>
  <si>
    <t>6.46</t>
  </si>
  <si>
    <t>Demolición de estructura de estructuras (concreto reforzado), incluye botada de material sobrante.</t>
  </si>
  <si>
    <t>6.71</t>
  </si>
  <si>
    <t>Suministro, transporte y colocación de tubería PVC 36" para alcantarillado</t>
  </si>
  <si>
    <t>m</t>
  </si>
  <si>
    <t>Concreto de 21 MPA para cunetas</t>
  </si>
  <si>
    <t>GRUPO 8 - GEOTEXTILES Y PAVIMENTOS</t>
  </si>
  <si>
    <t>8.5</t>
  </si>
  <si>
    <t>Suministro, transporte e instalación de Geodren circular, tubería de 4", incluye Geotextil NT2500</t>
  </si>
  <si>
    <t>8.15</t>
  </si>
  <si>
    <t>Línea de demarcación con pintura en frío.</t>
  </si>
  <si>
    <t>8.28.2</t>
  </si>
  <si>
    <t>Suministro, colocación y compactación de mezcla asfáltica MSC-19. Con asfalto normalizado, incluye imprimación, no incluye transporte.</t>
  </si>
  <si>
    <t>GRUPO 12 - SEÑALIZACIÓN</t>
  </si>
  <si>
    <t>12.8</t>
  </si>
  <si>
    <t>Suministro, transporte e instalación de señal vertical de 75 cm x 75 cm en lámina galvanizada calibre 16, reflectivo tipo XI, estructura metálica tipo pedestal compuesta por un paral en ángulo de 2"x2"x1/4"y brazo en ángulo de 2"x2"x1/8"</t>
  </si>
  <si>
    <t>und</t>
  </si>
  <si>
    <t>ITEMS NO PREVISTOS</t>
  </si>
  <si>
    <t>OE-01</t>
  </si>
  <si>
    <t>Lleno con material no clasificado de rÍo  hasta 25 mm para filtro, cimentaciones o cama de soporte para tuberia. Incluye transporte interno, suministro, transporte e instalación  y todo lo necesario para su correcta instalación.</t>
  </si>
  <si>
    <t>OE-02</t>
  </si>
  <si>
    <t>Demolición de asfalto existente, no incluye botada.</t>
  </si>
  <si>
    <t>OE-03</t>
  </si>
  <si>
    <t>Concreto clase d para pilas (210kg/cm2).</t>
  </si>
  <si>
    <t>ml</t>
  </si>
  <si>
    <t>OE-04</t>
  </si>
  <si>
    <t>Excavación varias en material común en cualquier condición de humedad para pilas 0-2 m, diámetro interno 1.2 mt. incluye anillo en concreto e=10cm 17.5 mpa. (diámetro total de excavación 1.4). no incluye transporte ni dispocision final.</t>
  </si>
  <si>
    <t>OE-05</t>
  </si>
  <si>
    <t>Excavación varias en material común en cualquier condición de humedad para pilas 2-4 m, diámetro interno 1.2 mt. incluye anillo en concreto e=10cm 17.5 mpa. (diámetro total de excavación 1.4). no incluye transporte ni dispocision final.</t>
  </si>
  <si>
    <t>OE-06</t>
  </si>
  <si>
    <t>Excavación varias en material común en cualquier condición de humedad para pilas 4-6 m, diámetro interno 1.2 mt. incluye anillo en concreto e=10cm 17.5 mpa. (diámetro total de excavación 1.4). no incluye transporte ni dispocision final.</t>
  </si>
  <si>
    <t>OE-07</t>
  </si>
  <si>
    <t>Excavación varias en material común en cualquier condición de humedad para pilas 6-8 m, diámetro interno 1.2 mt. incluye anillo en concreto e=10cm 17.5 mpa. (diámetro total de excavación 1.4). no incluye transporte ni dispocision final.</t>
  </si>
  <si>
    <t>OE-08</t>
  </si>
  <si>
    <t>Excavación varias en material común en cualquier condición de humedad para pilas 8-10 m, diámetro interno 1.2 mt. incluye anillo en concreto e=10cm 17.5 mpa. (diámetro total de excavación 1.4). no incluye transporte ni dispocision final.</t>
  </si>
  <si>
    <t>OE-09</t>
  </si>
  <si>
    <t>Excavación varias en material común en cualquier condición de humedad para pilas 10-12 m, diámetro interno 1.2 mt. incluye anillo en concreto e=10cm 17.5 mpa. (diámetro total de excavación 1.4). no incluye transporte ni dispocision final.</t>
  </si>
  <si>
    <t>OE-10</t>
  </si>
  <si>
    <t>Anclaje con epoxico y varilla de 1/2" de 30 cm de longitud y perforacion de 5/8".</t>
  </si>
  <si>
    <t>un</t>
  </si>
  <si>
    <t>OE-11</t>
  </si>
  <si>
    <t>Suministro, transporte y construcción de gaviones,con afirmado de la zona, incluye transporte material.</t>
  </si>
  <si>
    <t>OE-12</t>
  </si>
  <si>
    <t>Retiro para reubicacion de tuberia existente hasta 3", sin excavación</t>
  </si>
  <si>
    <t>OE-13</t>
  </si>
  <si>
    <t>Reposicion de tuberia de presion red 21 de diametro 2" incluye suministro y accesorios.</t>
  </si>
  <si>
    <t>OE-14</t>
  </si>
  <si>
    <t>Reposicion de tuberia de presion red 21 de diametro 1" incluye suministro y accesorios.</t>
  </si>
  <si>
    <t>OE-15</t>
  </si>
  <si>
    <t>Reposicion de tuberia de presion red 21 de diametro 1/2" incluye suministro y accesorios.</t>
  </si>
  <si>
    <t>OE-16</t>
  </si>
  <si>
    <t>Revision, chequeo, verificacion hidraulica del cambio de ubicación, incluye presentacion de informe con recomendaciones</t>
  </si>
  <si>
    <t>Gl</t>
  </si>
  <si>
    <t>OE-17</t>
  </si>
  <si>
    <t>Lloradero tubería pvc 1 1/2"</t>
  </si>
  <si>
    <t>OE-18</t>
  </si>
  <si>
    <t>Instalacion de tuberia hasta 3", sin excavación</t>
  </si>
  <si>
    <t>AJUSTE AL PESO</t>
  </si>
  <si>
    <t>SUBTOTAL OBRAS</t>
  </si>
  <si>
    <t>DESGLOSE A.I.U</t>
  </si>
  <si>
    <t>ADMINISTACION</t>
  </si>
  <si>
    <t>IMPREVISTO</t>
  </si>
  <si>
    <t>UTILIDAD</t>
  </si>
  <si>
    <t>TOTAL A.I.U.</t>
  </si>
  <si>
    <t>PROVISION PARA AJUSTES, OBRAS COMPLEMENTARIAS Y/O ADICIONALES</t>
  </si>
  <si>
    <t>PLAN DE MANEJO DE TRANSITO (PMT)</t>
  </si>
  <si>
    <t>PLAN DE MANEJO AMBIENTAL (PMA)</t>
  </si>
  <si>
    <t>CARACTERIZACIONVIAL (incluye IVA)</t>
  </si>
  <si>
    <t>km</t>
  </si>
  <si>
    <t>GERSON POLOCHE MOSQUERA</t>
  </si>
  <si>
    <t>C.C.:14.139.339</t>
  </si>
  <si>
    <t>DIRECTOR INTERVENTORÍA</t>
  </si>
  <si>
    <t>UNION TEMPORAL ICP ANTIOQUIA</t>
  </si>
  <si>
    <t>CONSORCIO VÍA YOLOMBÓ COJ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</si>
</sst>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\ * #,##0_);_(&quot;$&quot;\ * \(#,##0\);_(&quot;$&quot;\ * &quot;-&quot;??_);_(@_)"/>
    <numFmt numFmtId="165" formatCode="_(&quot;$&quot;\ * #,##0.00_);_(&quot;$&quot;\ * \(#,##0.00\);_(&quot;$&quot;\ 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9" xfId="0" applyFont="1" applyFill="1" applyBorder="1"/>
    <xf numFmtId="0" fontId="2" fillId="3" borderId="12" xfId="0" applyFont="1" applyFill="1" applyBorder="1"/>
    <xf numFmtId="0" fontId="4" fillId="3" borderId="12" xfId="0" applyFont="1" applyFill="1" applyBorder="1"/>
    <xf numFmtId="164" fontId="4" fillId="3" borderId="12" xfId="0" applyNumberFormat="1" applyFont="1" applyFill="1" applyBorder="1"/>
    <xf numFmtId="0" fontId="2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164" fontId="2" fillId="0" borderId="11" xfId="1" applyNumberFormat="1" applyFont="1" applyBorder="1" applyAlignment="1">
      <alignment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11" xfId="0" applyNumberFormat="1" applyFont="1" applyFill="1" applyBorder="1" applyAlignment="1">
      <alignment vertical="center"/>
    </xf>
    <xf numFmtId="164" fontId="2" fillId="0" borderId="11" xfId="1" applyNumberFormat="1" applyFont="1" applyFill="1" applyBorder="1" applyAlignment="1">
      <alignment vertical="center"/>
    </xf>
    <xf numFmtId="4" fontId="2" fillId="0" borderId="11" xfId="0" applyNumberFormat="1" applyFont="1" applyBorder="1" applyAlignment="1">
      <alignment horizontal="right" vertical="center"/>
    </xf>
    <xf numFmtId="0" fontId="2" fillId="0" borderId="11" xfId="0" applyFont="1" applyBorder="1"/>
    <xf numFmtId="0" fontId="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right" vertical="center"/>
    </xf>
    <xf numFmtId="0" fontId="2" fillId="3" borderId="12" xfId="0" applyFont="1" applyFill="1" applyBorder="1" applyAlignment="1">
      <alignment horizontal="right" vertical="center"/>
    </xf>
    <xf numFmtId="0" fontId="2" fillId="0" borderId="11" xfId="0" applyFont="1" applyBorder="1" applyAlignment="1"/>
    <xf numFmtId="3" fontId="2" fillId="0" borderId="11" xfId="0" applyNumberFormat="1" applyFont="1" applyBorder="1" applyAlignment="1">
      <alignment horizontal="right" vertical="center"/>
    </xf>
    <xf numFmtId="0" fontId="2" fillId="3" borderId="9" xfId="0" applyFont="1" applyFill="1" applyBorder="1" applyAlignment="1">
      <alignment vertical="center"/>
    </xf>
    <xf numFmtId="164" fontId="2" fillId="3" borderId="12" xfId="0" applyNumberFormat="1" applyFont="1" applyFill="1" applyBorder="1"/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/>
    <xf numFmtId="0" fontId="4" fillId="4" borderId="9" xfId="0" applyFont="1" applyFill="1" applyBorder="1"/>
    <xf numFmtId="0" fontId="4" fillId="4" borderId="12" xfId="0" applyFont="1" applyFill="1" applyBorder="1"/>
    <xf numFmtId="164" fontId="4" fillId="4" borderId="11" xfId="0" applyNumberFormat="1" applyFont="1" applyFill="1" applyBorder="1"/>
    <xf numFmtId="0" fontId="2" fillId="0" borderId="9" xfId="0" applyFont="1" applyBorder="1"/>
    <xf numFmtId="0" fontId="2" fillId="0" borderId="12" xfId="0" applyFont="1" applyBorder="1"/>
    <xf numFmtId="10" fontId="2" fillId="0" borderId="12" xfId="0" applyNumberFormat="1" applyFont="1" applyBorder="1"/>
    <xf numFmtId="164" fontId="5" fillId="0" borderId="11" xfId="0" applyNumberFormat="1" applyFont="1" applyBorder="1"/>
    <xf numFmtId="0" fontId="2" fillId="0" borderId="9" xfId="0" applyFont="1" applyFill="1" applyBorder="1"/>
    <xf numFmtId="0" fontId="2" fillId="0" borderId="12" xfId="0" applyFont="1" applyFill="1" applyBorder="1"/>
    <xf numFmtId="10" fontId="2" fillId="0" borderId="12" xfId="0" applyNumberFormat="1" applyFont="1" applyFill="1" applyBorder="1"/>
    <xf numFmtId="164" fontId="6" fillId="5" borderId="11" xfId="0" applyNumberFormat="1" applyFont="1" applyFill="1" applyBorder="1"/>
    <xf numFmtId="164" fontId="2" fillId="0" borderId="11" xfId="0" applyNumberFormat="1" applyFont="1" applyFill="1" applyBorder="1"/>
    <xf numFmtId="164" fontId="7" fillId="0" borderId="0" xfId="0" applyNumberFormat="1" applyFont="1" applyBorder="1"/>
    <xf numFmtId="164" fontId="7" fillId="0" borderId="13" xfId="0" applyNumberFormat="1" applyFont="1" applyFill="1" applyBorder="1"/>
    <xf numFmtId="0" fontId="2" fillId="0" borderId="14" xfId="0" applyFont="1" applyFill="1" applyBorder="1"/>
    <xf numFmtId="164" fontId="2" fillId="0" borderId="14" xfId="0" applyNumberFormat="1" applyFont="1" applyFill="1" applyBorder="1"/>
    <xf numFmtId="0" fontId="2" fillId="4" borderId="9" xfId="0" applyFont="1" applyFill="1" applyBorder="1"/>
    <xf numFmtId="0" fontId="2" fillId="4" borderId="12" xfId="0" applyFont="1" applyFill="1" applyBorder="1"/>
    <xf numFmtId="164" fontId="2" fillId="4" borderId="11" xfId="0" applyNumberFormat="1" applyFont="1" applyFill="1" applyBorder="1"/>
    <xf numFmtId="0" fontId="2" fillId="4" borderId="0" xfId="0" applyFont="1" applyFill="1"/>
    <xf numFmtId="0" fontId="2" fillId="4" borderId="0" xfId="0" applyFont="1" applyFill="1" applyBorder="1"/>
    <xf numFmtId="0" fontId="2" fillId="4" borderId="11" xfId="0" applyFont="1" applyFill="1" applyBorder="1"/>
    <xf numFmtId="164" fontId="2" fillId="4" borderId="11" xfId="1" applyNumberFormat="1" applyFont="1" applyFill="1" applyBorder="1" applyAlignment="1">
      <alignment vertical="center"/>
    </xf>
    <xf numFmtId="0" fontId="2" fillId="6" borderId="9" xfId="0" applyFont="1" applyFill="1" applyBorder="1"/>
    <xf numFmtId="0" fontId="4" fillId="6" borderId="12" xfId="0" applyFont="1" applyFill="1" applyBorder="1"/>
    <xf numFmtId="164" fontId="4" fillId="6" borderId="12" xfId="0" applyNumberFormat="1" applyFont="1" applyFill="1" applyBorder="1"/>
    <xf numFmtId="164" fontId="2" fillId="0" borderId="0" xfId="0" applyNumberFormat="1" applyFont="1"/>
    <xf numFmtId="10" fontId="2" fillId="0" borderId="0" xfId="2" applyNumberFormat="1" applyFont="1"/>
    <xf numFmtId="165" fontId="2" fillId="0" borderId="0" xfId="1" applyFont="1"/>
    <xf numFmtId="164" fontId="2" fillId="0" borderId="0" xfId="0" applyNumberFormat="1" applyFont="1" applyBorder="1"/>
    <xf numFmtId="0" fontId="4" fillId="0" borderId="14" xfId="0" applyFont="1" applyBorder="1"/>
    <xf numFmtId="0" fontId="2" fillId="0" borderId="14" xfId="0" applyFont="1" applyBorder="1"/>
    <xf numFmtId="0" fontId="5" fillId="0" borderId="0" xfId="0" applyFont="1"/>
    <xf numFmtId="0" fontId="4" fillId="0" borderId="0" xfId="0" applyFont="1"/>
    <xf numFmtId="0" fontId="7" fillId="0" borderId="0" xfId="0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2</xdr:col>
      <xdr:colOff>2120900</xdr:colOff>
      <xdr:row>4</xdr:row>
      <xdr:rowOff>95250</xdr:rowOff>
    </xdr:to>
    <xdr:pic>
      <xdr:nvPicPr>
        <xdr:cNvPr id="2" name="1 Imagen" descr="D:\MISIMAGENES\LOGO GOBR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5725"/>
          <a:ext cx="244475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333375</xdr:colOff>
      <xdr:row>0</xdr:row>
      <xdr:rowOff>76200</xdr:rowOff>
    </xdr:from>
    <xdr:to>
      <xdr:col>10</xdr:col>
      <xdr:colOff>847725</xdr:colOff>
      <xdr:row>4</xdr:row>
      <xdr:rowOff>79373</xdr:rowOff>
    </xdr:to>
    <xdr:pic>
      <xdr:nvPicPr>
        <xdr:cNvPr id="3" name="2 Imagen" descr="C:\Users\LICITACIONES\Documents\LIC OYP\PROPUESTAS\licitaciones 2020\ANTIOQUIA\CON 10626\CONTRATO\logo yolombo.jpe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600" t="30600" r="13000" b="24397"/>
        <a:stretch/>
      </xdr:blipFill>
      <xdr:spPr bwMode="auto">
        <a:xfrm>
          <a:off x="9848850" y="76200"/>
          <a:ext cx="1219200" cy="6508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66675</xdr:colOff>
      <xdr:row>0</xdr:row>
      <xdr:rowOff>76200</xdr:rowOff>
    </xdr:from>
    <xdr:to>
      <xdr:col>12</xdr:col>
      <xdr:colOff>609600</xdr:colOff>
      <xdr:row>4</xdr:row>
      <xdr:rowOff>63500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47" b="17500"/>
        <a:stretch/>
      </xdr:blipFill>
      <xdr:spPr bwMode="auto">
        <a:xfrm>
          <a:off x="11258550" y="76200"/>
          <a:ext cx="1247775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CUMULADO%20EJECUTADO%20OBRA%20SOFIA%20-%20YOLOMB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(2)"/>
      <sheetName val="BASE"/>
      <sheetName val="MAYORES Y MENORES"/>
      <sheetName val="financiero"/>
      <sheetName val="SEGUI"/>
      <sheetName val="datoActa"/>
      <sheetName val="HISTORICO"/>
      <sheetName val="control"/>
      <sheetName val="Seg.Entregables"/>
      <sheetName val="ACTA"/>
      <sheetName val="PREACTA"/>
      <sheetName val="d.pavi-MEJ"/>
      <sheetName val="d.pavi-AFIR"/>
      <sheetName val="d.pavi-base"/>
      <sheetName val="d.pavi-asfal"/>
      <sheetName val="entre1.pavime"/>
      <sheetName val="1.6.2E1"/>
      <sheetName val="1.18E1"/>
      <sheetName val="1.29E1"/>
      <sheetName val="2.1E1"/>
      <sheetName val="2.6E1"/>
      <sheetName val="3.4E1"/>
      <sheetName val="6.1.2E1"/>
      <sheetName val="8.28.2E1"/>
      <sheetName val="entre2.CUNETAS"/>
      <sheetName val="4.1E2"/>
      <sheetName val="6.100E2"/>
      <sheetName val="6.2E2"/>
      <sheetName val="6.25E2"/>
      <sheetName val="6.46E2"/>
      <sheetName val="datocuneta"/>
      <sheetName val="datoplacaalcan"/>
      <sheetName val="entre3.filtros"/>
      <sheetName val="d.filtro"/>
      <sheetName val="1.14E3"/>
      <sheetName val="1.6.2E3"/>
      <sheetName val="3.4E3"/>
      <sheetName val="6.1.2E3"/>
      <sheetName val="6.2E3"/>
      <sheetName val="OE-01E3"/>
      <sheetName val="8.5E3"/>
      <sheetName val="entre4.SEÑALI"/>
      <sheetName val="entre6.alca"/>
      <sheetName val="6.28E6"/>
      <sheetName val="1.13E6"/>
      <sheetName val="1.6.2E6"/>
      <sheetName val="3.4E6"/>
      <sheetName val="dato4.1E6"/>
      <sheetName val="4.1E6"/>
      <sheetName val="auxiliar"/>
      <sheetName val="6.1.2E6"/>
      <sheetName val="D.ALCAN"/>
      <sheetName val="6.2E6"/>
      <sheetName val="6.25E6"/>
      <sheetName val="6.71E6"/>
      <sheetName val="8.5E6"/>
      <sheetName val="OE-01E6"/>
      <sheetName val="OE-17E6"/>
      <sheetName val="entre8.lim.ob"/>
      <sheetName val="6.41E8"/>
      <sheetName val="6.42E8"/>
      <sheetName val="entre7.BOX"/>
      <sheetName val="4.1e7"/>
      <sheetName val="6.2e7"/>
      <sheetName val="6.28e7"/>
      <sheetName val="6.35e7"/>
      <sheetName val="6.36e7"/>
      <sheetName val="entre9.muros"/>
      <sheetName val="DATmur"/>
      <sheetName val="1.14.1E9"/>
      <sheetName val="4.1E9"/>
      <sheetName val="aux 4.1e9"/>
      <sheetName val="OE-04E9"/>
      <sheetName val="OE-05E9"/>
      <sheetName val="OE-06E9"/>
      <sheetName val="OE-07E9"/>
      <sheetName val="OE-08E9"/>
      <sheetName val="OE-09E9"/>
      <sheetName val="6.2E9"/>
      <sheetName val="6.25E9"/>
      <sheetName val="6.28E9"/>
      <sheetName val="OE-17E9"/>
      <sheetName val="OE-03E9"/>
      <sheetName val="OE-11E9"/>
      <sheetName val="entre10.REDES"/>
      <sheetName val="6.2E10"/>
      <sheetName val="OE-13E10"/>
      <sheetName val="OE-14E10"/>
      <sheetName val="entre11.REALCES"/>
      <sheetName val="4.1E11"/>
      <sheetName val="6.25E11"/>
      <sheetName val="OE-10E11"/>
      <sheetName val="seg fil cun"/>
    </sheetNames>
    <sheetDataSet>
      <sheetData sheetId="0"/>
      <sheetData sheetId="1"/>
      <sheetData sheetId="2">
        <row r="11">
          <cell r="J11">
            <v>264.07</v>
          </cell>
        </row>
        <row r="12">
          <cell r="J12">
            <v>4169.6899999999996</v>
          </cell>
        </row>
        <row r="13">
          <cell r="J13">
            <v>1628.07</v>
          </cell>
        </row>
        <row r="14">
          <cell r="J14">
            <v>211.72</v>
          </cell>
        </row>
        <row r="15">
          <cell r="J15">
            <v>430</v>
          </cell>
        </row>
        <row r="16">
          <cell r="J16">
            <v>4.01</v>
          </cell>
        </row>
        <row r="17">
          <cell r="J17">
            <v>31105.4</v>
          </cell>
        </row>
        <row r="18">
          <cell r="J18">
            <v>6020.4</v>
          </cell>
        </row>
        <row r="20">
          <cell r="J20">
            <v>8708.1200000000008</v>
          </cell>
        </row>
        <row r="21">
          <cell r="J21">
            <v>8213.51</v>
          </cell>
        </row>
        <row r="23">
          <cell r="J23">
            <v>1073577.2459999998</v>
          </cell>
        </row>
        <row r="25">
          <cell r="J25">
            <v>87860.46</v>
          </cell>
        </row>
        <row r="27">
          <cell r="J27">
            <v>475.72</v>
          </cell>
        </row>
        <row r="28">
          <cell r="J28">
            <v>4646</v>
          </cell>
        </row>
        <row r="29">
          <cell r="J29">
            <v>793.64</v>
          </cell>
        </row>
        <row r="30">
          <cell r="J30">
            <v>29.25</v>
          </cell>
        </row>
        <row r="31">
          <cell r="J31">
            <v>4.9400000000000004</v>
          </cell>
        </row>
        <row r="32">
          <cell r="J32">
            <v>13.3</v>
          </cell>
        </row>
        <row r="33">
          <cell r="J33">
            <v>29</v>
          </cell>
        </row>
        <row r="34">
          <cell r="J34">
            <v>0</v>
          </cell>
        </row>
        <row r="35">
          <cell r="J35">
            <v>235.48</v>
          </cell>
        </row>
        <row r="36">
          <cell r="J36">
            <v>252.2</v>
          </cell>
        </row>
        <row r="37">
          <cell r="J37">
            <v>813.82</v>
          </cell>
        </row>
        <row r="39">
          <cell r="J39">
            <v>5388</v>
          </cell>
        </row>
        <row r="40">
          <cell r="J40">
            <v>13722</v>
          </cell>
        </row>
        <row r="41">
          <cell r="J41">
            <v>1607.9</v>
          </cell>
        </row>
        <row r="43">
          <cell r="J43">
            <v>59</v>
          </cell>
        </row>
        <row r="45">
          <cell r="J45">
            <v>2448.31</v>
          </cell>
        </row>
        <row r="46">
          <cell r="J46">
            <v>57.75</v>
          </cell>
        </row>
        <row r="47">
          <cell r="J47">
            <v>60</v>
          </cell>
        </row>
        <row r="48">
          <cell r="J48">
            <v>10</v>
          </cell>
        </row>
        <row r="49">
          <cell r="J49">
            <v>10</v>
          </cell>
        </row>
        <row r="50">
          <cell r="J50">
            <v>10</v>
          </cell>
        </row>
        <row r="51">
          <cell r="J51">
            <v>10</v>
          </cell>
        </row>
        <row r="52">
          <cell r="J52">
            <v>10</v>
          </cell>
        </row>
        <row r="53">
          <cell r="J53">
            <v>10</v>
          </cell>
        </row>
        <row r="54">
          <cell r="J54">
            <v>822</v>
          </cell>
        </row>
        <row r="55">
          <cell r="J55">
            <v>176</v>
          </cell>
        </row>
        <row r="56">
          <cell r="J56">
            <v>1876.4</v>
          </cell>
        </row>
        <row r="57">
          <cell r="J57">
            <v>561.4</v>
          </cell>
        </row>
        <row r="58">
          <cell r="J58">
            <v>500</v>
          </cell>
        </row>
        <row r="59">
          <cell r="J59">
            <v>102.2</v>
          </cell>
        </row>
        <row r="60">
          <cell r="J60">
            <v>1</v>
          </cell>
        </row>
        <row r="61">
          <cell r="J61">
            <v>76</v>
          </cell>
        </row>
        <row r="62">
          <cell r="J62">
            <v>1876.4</v>
          </cell>
        </row>
        <row r="64">
          <cell r="K64">
            <v>1260</v>
          </cell>
        </row>
      </sheetData>
      <sheetData sheetId="3"/>
      <sheetData sheetId="4"/>
      <sheetData sheetId="5">
        <row r="8">
          <cell r="C8">
            <v>0</v>
          </cell>
        </row>
        <row r="13">
          <cell r="F13">
            <v>1</v>
          </cell>
          <cell r="G13" t="str">
            <v>DIRECTOR INTERVENTORÍA</v>
          </cell>
          <cell r="H13" t="str">
            <v>GERSON POLOCHE MOSQUERA</v>
          </cell>
          <cell r="I13" t="str">
            <v>C.C.:14.139.339</v>
          </cell>
        </row>
        <row r="14">
          <cell r="F14">
            <v>2</v>
          </cell>
          <cell r="G14" t="str">
            <v>RESIDENTE INTERVENTORÍA</v>
          </cell>
          <cell r="H14" t="str">
            <v>IVAN DARIO PEÑALOZA SUESCUN</v>
          </cell>
          <cell r="I14" t="str">
            <v>C.C.:88.244.403</v>
          </cell>
        </row>
        <row r="15">
          <cell r="F15">
            <v>3</v>
          </cell>
          <cell r="G15" t="str">
            <v>DIRECTOR DE OBRA</v>
          </cell>
          <cell r="H15" t="str">
            <v>JIMMY BERNAL SALAS</v>
          </cell>
          <cell r="I15" t="str">
            <v>C.C.:13.507.139</v>
          </cell>
        </row>
        <row r="16">
          <cell r="F16">
            <v>4</v>
          </cell>
          <cell r="G16" t="str">
            <v>RESIDENTE DE OBRA</v>
          </cell>
          <cell r="H16" t="str">
            <v>WILSON LOPEZ VAHOS</v>
          </cell>
          <cell r="I16" t="str">
            <v>C.C.:71.212.656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2"/>
  <sheetViews>
    <sheetView tabSelected="1" view="pageBreakPreview" zoomScaleNormal="100" zoomScaleSheetLayoutView="100" workbookViewId="0">
      <pane ySplit="8" topLeftCell="A9" activePane="bottomLeft" state="frozenSplit"/>
      <selection pane="bottomLeft" activeCell="K83" sqref="K83"/>
    </sheetView>
  </sheetViews>
  <sheetFormatPr baseColWidth="10" defaultColWidth="9.140625" defaultRowHeight="12.75" x14ac:dyDescent="0.2"/>
  <cols>
    <col min="1" max="1" width="3.85546875" style="1" customWidth="1"/>
    <col min="2" max="2" width="7.140625" style="1" customWidth="1"/>
    <col min="3" max="3" width="60.85546875" style="1" customWidth="1"/>
    <col min="4" max="4" width="6.5703125" style="1" customWidth="1"/>
    <col min="5" max="5" width="13" style="1" customWidth="1"/>
    <col min="6" max="6" width="10.5703125" style="1" customWidth="1"/>
    <col min="7" max="7" width="14.5703125" style="1" customWidth="1"/>
    <col min="8" max="8" width="11.5703125" style="1" customWidth="1"/>
    <col min="9" max="9" width="14.5703125" style="1" customWidth="1"/>
    <col min="10" max="10" width="10.5703125" style="1" customWidth="1"/>
    <col min="11" max="11" width="14.5703125" style="1" customWidth="1"/>
    <col min="12" max="12" width="10.5703125" style="1" customWidth="1"/>
    <col min="13" max="13" width="14.5703125" style="1" customWidth="1"/>
    <col min="14" max="14" width="15" style="1" hidden="1" customWidth="1"/>
    <col min="15" max="15" width="14.42578125" style="1" hidden="1" customWidth="1"/>
    <col min="16" max="16" width="12.5703125" style="5" hidden="1" customWidth="1"/>
    <col min="17" max="22" width="9.140625" style="5"/>
    <col min="23" max="16384" width="9.140625" style="1"/>
  </cols>
  <sheetData>
    <row r="1" spans="1:22" x14ac:dyDescent="0.2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22" x14ac:dyDescent="0.2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spans="1:22" x14ac:dyDescent="0.2">
      <c r="B3" s="6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8"/>
    </row>
    <row r="4" spans="1:22" x14ac:dyDescent="0.2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22" ht="13.5" thickBot="1" x14ac:dyDescent="0.25">
      <c r="B5" s="9" t="s">
        <v>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7" spans="1:22" x14ac:dyDescent="0.2">
      <c r="C7" s="12"/>
    </row>
    <row r="8" spans="1:22" s="13" customFormat="1" ht="37.5" customHeight="1" x14ac:dyDescent="0.2">
      <c r="B8" s="14"/>
      <c r="C8" s="14"/>
      <c r="D8" s="14"/>
      <c r="E8" s="14"/>
      <c r="F8" s="15" t="s">
        <v>4</v>
      </c>
      <c r="G8" s="16"/>
      <c r="H8" s="15" t="s">
        <v>5</v>
      </c>
      <c r="I8" s="16"/>
      <c r="J8" s="17" t="s">
        <v>6</v>
      </c>
      <c r="K8" s="18"/>
      <c r="L8" s="17" t="s">
        <v>7</v>
      </c>
      <c r="M8" s="18"/>
      <c r="P8" s="19"/>
      <c r="Q8" s="19"/>
      <c r="R8" s="19"/>
      <c r="S8" s="19"/>
      <c r="T8" s="19"/>
      <c r="U8" s="19"/>
      <c r="V8" s="20"/>
    </row>
    <row r="9" spans="1:22" s="21" customFormat="1" ht="38.25" x14ac:dyDescent="0.25">
      <c r="B9" s="22" t="s">
        <v>8</v>
      </c>
      <c r="C9" s="22" t="s">
        <v>9</v>
      </c>
      <c r="D9" s="22" t="s">
        <v>10</v>
      </c>
      <c r="E9" s="23" t="s">
        <v>11</v>
      </c>
      <c r="F9" s="22" t="s">
        <v>12</v>
      </c>
      <c r="G9" s="22" t="s">
        <v>13</v>
      </c>
      <c r="H9" s="22" t="s">
        <v>12</v>
      </c>
      <c r="I9" s="22" t="s">
        <v>13</v>
      </c>
      <c r="J9" s="22" t="s">
        <v>12</v>
      </c>
      <c r="K9" s="22" t="s">
        <v>13</v>
      </c>
      <c r="L9" s="22" t="s">
        <v>12</v>
      </c>
      <c r="M9" s="22" t="s">
        <v>13</v>
      </c>
      <c r="O9" s="21" t="s">
        <v>14</v>
      </c>
      <c r="P9" s="24"/>
      <c r="Q9" s="24"/>
      <c r="R9" s="24"/>
      <c r="S9" s="24"/>
      <c r="T9" s="24"/>
      <c r="U9" s="24"/>
      <c r="V9" s="25"/>
    </row>
    <row r="10" spans="1:22" x14ac:dyDescent="0.2">
      <c r="A10" s="1">
        <v>1</v>
      </c>
      <c r="B10" s="26"/>
      <c r="C10" s="27" t="s">
        <v>15</v>
      </c>
      <c r="D10" s="28"/>
      <c r="E10" s="28"/>
      <c r="F10" s="28"/>
      <c r="G10" s="29">
        <f>SUM(G11:G18)</f>
        <v>322145973</v>
      </c>
      <c r="H10" s="28"/>
      <c r="I10" s="29">
        <f>SUM(I11:I18)</f>
        <v>188010700</v>
      </c>
      <c r="J10" s="28"/>
      <c r="K10" s="29">
        <f>SUM(K11:K18)</f>
        <v>119521456</v>
      </c>
      <c r="L10" s="28"/>
      <c r="M10" s="29">
        <f>SUM(M11:M18)</f>
        <v>68489244</v>
      </c>
    </row>
    <row r="11" spans="1:22" ht="25.5" x14ac:dyDescent="0.2">
      <c r="A11" s="1">
        <v>2</v>
      </c>
      <c r="B11" s="30" t="s">
        <v>16</v>
      </c>
      <c r="C11" s="31" t="s">
        <v>17</v>
      </c>
      <c r="D11" s="32" t="s">
        <v>18</v>
      </c>
      <c r="E11" s="33">
        <v>10808</v>
      </c>
      <c r="F11" s="34">
        <v>1798</v>
      </c>
      <c r="G11" s="33">
        <f>+ROUND($E11*F11,[1]datoActa!$C$8)</f>
        <v>19432784</v>
      </c>
      <c r="H11" s="35">
        <f>+'[1]MAYORES Y MENORES'!J11</f>
        <v>264.07</v>
      </c>
      <c r="I11" s="36">
        <f>+ROUND($E11*H11,[1]datoActa!$C$8)</f>
        <v>2854069</v>
      </c>
      <c r="J11" s="37">
        <v>0</v>
      </c>
      <c r="K11" s="33">
        <f>+ROUND($E11*J11,[1]datoActa!$C$8)</f>
        <v>0</v>
      </c>
      <c r="L11" s="37">
        <f>+IF(H11&lt;&gt;"",H11-J11,F11-J11)</f>
        <v>264.07</v>
      </c>
      <c r="M11" s="33">
        <f>+ROUND($E11*L11,[1]datoActa!$C$8)</f>
        <v>2854069</v>
      </c>
      <c r="O11" s="1" t="str">
        <f>+IF(L11&gt;=0,"ok","malo")</f>
        <v>ok</v>
      </c>
    </row>
    <row r="12" spans="1:22" x14ac:dyDescent="0.2">
      <c r="A12" s="1">
        <v>3</v>
      </c>
      <c r="B12" s="30" t="s">
        <v>19</v>
      </c>
      <c r="C12" s="38" t="s">
        <v>20</v>
      </c>
      <c r="D12" s="32" t="s">
        <v>18</v>
      </c>
      <c r="E12" s="33">
        <v>4196</v>
      </c>
      <c r="F12" s="34">
        <v>3419</v>
      </c>
      <c r="G12" s="33">
        <f>+ROUND($E12*F12,[1]datoActa!$C$8)</f>
        <v>14346124</v>
      </c>
      <c r="H12" s="35">
        <f>+'[1]MAYORES Y MENORES'!J12</f>
        <v>4169.6899999999996</v>
      </c>
      <c r="I12" s="36">
        <f>+ROUND($E12*H12,[1]datoActa!$C$8)</f>
        <v>17496019</v>
      </c>
      <c r="J12" s="37">
        <v>1410.3899999999999</v>
      </c>
      <c r="K12" s="33">
        <f>+ROUND($E12*J12,[1]datoActa!$C$8)</f>
        <v>5917996</v>
      </c>
      <c r="L12" s="37">
        <f>+IF(H12&lt;&gt;"",H12-J12,F12-J12)</f>
        <v>2759.2999999999997</v>
      </c>
      <c r="M12" s="33">
        <f>+ROUND($E12*L12,[1]datoActa!$C$8)</f>
        <v>11578023</v>
      </c>
      <c r="O12" s="1" t="str">
        <f t="shared" ref="O12:O77" si="0">+IF(L12&gt;=0,"ok","malo")</f>
        <v>ok</v>
      </c>
    </row>
    <row r="13" spans="1:22" x14ac:dyDescent="0.2">
      <c r="A13" s="1">
        <v>4</v>
      </c>
      <c r="B13" s="30" t="s">
        <v>21</v>
      </c>
      <c r="C13" s="38" t="s">
        <v>22</v>
      </c>
      <c r="D13" s="32" t="s">
        <v>18</v>
      </c>
      <c r="E13" s="33">
        <v>20100</v>
      </c>
      <c r="F13" s="34">
        <v>816</v>
      </c>
      <c r="G13" s="33">
        <f>+ROUND($E13*F13,[1]datoActa!$C$8)</f>
        <v>16401600</v>
      </c>
      <c r="H13" s="35">
        <f>+'[1]MAYORES Y MENORES'!J13</f>
        <v>1628.07</v>
      </c>
      <c r="I13" s="36">
        <f>+ROUND($E13*H13,[1]datoActa!$C$8)</f>
        <v>32724207</v>
      </c>
      <c r="J13" s="37">
        <v>266.41000000000003</v>
      </c>
      <c r="K13" s="33">
        <f>+ROUND($E13*J13,[1]datoActa!$C$8)</f>
        <v>5354841</v>
      </c>
      <c r="L13" s="37">
        <f>+IF(H13&lt;&gt;"",H13-J13,F13-J13)</f>
        <v>1361.6599999999999</v>
      </c>
      <c r="M13" s="33">
        <f>+ROUND($E13*L13,[1]datoActa!$C$8)</f>
        <v>27369366</v>
      </c>
      <c r="O13" s="1" t="str">
        <f t="shared" si="0"/>
        <v>ok</v>
      </c>
    </row>
    <row r="14" spans="1:22" x14ac:dyDescent="0.2">
      <c r="A14" s="1">
        <v>5</v>
      </c>
      <c r="B14" s="30" t="s">
        <v>23</v>
      </c>
      <c r="C14" s="38" t="s">
        <v>24</v>
      </c>
      <c r="D14" s="32" t="s">
        <v>18</v>
      </c>
      <c r="E14" s="33">
        <v>16300</v>
      </c>
      <c r="F14" s="34">
        <v>1798</v>
      </c>
      <c r="G14" s="33">
        <f>+ROUND($E14*F14,[1]datoActa!$C$8)</f>
        <v>29307400</v>
      </c>
      <c r="H14" s="35">
        <f>+'[1]MAYORES Y MENORES'!J14</f>
        <v>211.72</v>
      </c>
      <c r="I14" s="36">
        <f>+ROUND($E14*H14,[1]datoActa!$C$8)</f>
        <v>3451036</v>
      </c>
      <c r="J14" s="37">
        <v>178.03</v>
      </c>
      <c r="K14" s="33">
        <f>+ROUND($E14*J14,[1]datoActa!$C$8)</f>
        <v>2901889</v>
      </c>
      <c r="L14" s="37">
        <f>+IF(H14&lt;&gt;"",H14-J14,F14-J14)</f>
        <v>33.69</v>
      </c>
      <c r="M14" s="33">
        <f>+ROUND($E14*L14,[1]datoActa!$C$8)</f>
        <v>549147</v>
      </c>
      <c r="O14" s="1" t="str">
        <f t="shared" si="0"/>
        <v>ok</v>
      </c>
    </row>
    <row r="15" spans="1:22" x14ac:dyDescent="0.2">
      <c r="A15" s="1">
        <v>6</v>
      </c>
      <c r="B15" s="30" t="s">
        <v>25</v>
      </c>
      <c r="C15" s="38" t="s">
        <v>26</v>
      </c>
      <c r="D15" s="32" t="s">
        <v>18</v>
      </c>
      <c r="E15" s="33">
        <v>87000</v>
      </c>
      <c r="F15" s="34">
        <v>1786</v>
      </c>
      <c r="G15" s="33">
        <f>+ROUND($E15*F15,[1]datoActa!$C$8)</f>
        <v>155382000</v>
      </c>
      <c r="H15" s="35">
        <f>+'[1]MAYORES Y MENORES'!J15</f>
        <v>430</v>
      </c>
      <c r="I15" s="36">
        <f>+ROUND($E15*H15,[1]datoActa!$C$8)</f>
        <v>37410000</v>
      </c>
      <c r="J15" s="37">
        <v>190.47</v>
      </c>
      <c r="K15" s="33">
        <f>+ROUND($E15*J15,[1]datoActa!$C$8)</f>
        <v>16570890</v>
      </c>
      <c r="L15" s="37">
        <f>+IF(H15&lt;&gt;"",H15-J15,F15-J15)</f>
        <v>239.53</v>
      </c>
      <c r="M15" s="33">
        <f>+ROUND($E15*L15,[1]datoActa!$C$8)</f>
        <v>20839110</v>
      </c>
      <c r="O15" s="1" t="str">
        <f t="shared" si="0"/>
        <v>ok</v>
      </c>
    </row>
    <row r="16" spans="1:22" x14ac:dyDescent="0.2">
      <c r="A16" s="1">
        <v>7</v>
      </c>
      <c r="B16" s="30" t="s">
        <v>27</v>
      </c>
      <c r="C16" s="38" t="s">
        <v>28</v>
      </c>
      <c r="D16" s="32" t="s">
        <v>29</v>
      </c>
      <c r="E16" s="33">
        <v>670000</v>
      </c>
      <c r="F16" s="34">
        <v>18</v>
      </c>
      <c r="G16" s="33">
        <f>+ROUND($E16*F16,[1]datoActa!$C$8)</f>
        <v>12060000</v>
      </c>
      <c r="H16" s="35">
        <f>+'[1]MAYORES Y MENORES'!J16</f>
        <v>4.01</v>
      </c>
      <c r="I16" s="36">
        <f>+ROUND($E16*H16,[1]datoActa!$C$8)</f>
        <v>2686700</v>
      </c>
      <c r="J16" s="37">
        <v>2</v>
      </c>
      <c r="K16" s="33">
        <f>+ROUND($E16*J16,[1]datoActa!$C$8)</f>
        <v>1340000</v>
      </c>
      <c r="L16" s="37">
        <f>+IF(H16&lt;&gt;"",H16-J16,F16-J16)</f>
        <v>2.0099999999999998</v>
      </c>
      <c r="M16" s="33">
        <f>+ROUND($E16*L16,[1]datoActa!$C$8)</f>
        <v>1346700</v>
      </c>
      <c r="O16" s="1" t="str">
        <f t="shared" si="0"/>
        <v>ok</v>
      </c>
    </row>
    <row r="17" spans="1:15" x14ac:dyDescent="0.2">
      <c r="A17" s="1">
        <v>8</v>
      </c>
      <c r="B17" s="30" t="s">
        <v>30</v>
      </c>
      <c r="C17" s="38" t="s">
        <v>31</v>
      </c>
      <c r="D17" s="32" t="s">
        <v>32</v>
      </c>
      <c r="E17" s="33">
        <v>1409</v>
      </c>
      <c r="F17" s="34">
        <v>25085</v>
      </c>
      <c r="G17" s="33">
        <f>+ROUND($E17*F17,[1]datoActa!$C$8)</f>
        <v>35344765</v>
      </c>
      <c r="H17" s="35">
        <f>+'[1]MAYORES Y MENORES'!J17</f>
        <v>31105.4</v>
      </c>
      <c r="I17" s="36">
        <f>+ROUND($E17*H17,[1]datoActa!$C$8)</f>
        <v>43827509</v>
      </c>
      <c r="J17" s="37">
        <v>29760</v>
      </c>
      <c r="K17" s="33">
        <f>+ROUND($E17*J17,[1]datoActa!$C$8)</f>
        <v>41931840</v>
      </c>
      <c r="L17" s="37">
        <f>+IF(H17&lt;&gt;"",H17-J17,F17-J17)</f>
        <v>1345.4000000000015</v>
      </c>
      <c r="M17" s="33">
        <f>+ROUND($E17*L17,[1]datoActa!$C$8)</f>
        <v>1895669</v>
      </c>
      <c r="O17" s="1" t="str">
        <f t="shared" si="0"/>
        <v>ok</v>
      </c>
    </row>
    <row r="18" spans="1:15" x14ac:dyDescent="0.2">
      <c r="A18" s="1">
        <v>9</v>
      </c>
      <c r="B18" s="30" t="s">
        <v>33</v>
      </c>
      <c r="C18" s="38" t="s">
        <v>34</v>
      </c>
      <c r="D18" s="32" t="s">
        <v>32</v>
      </c>
      <c r="E18" s="33">
        <v>7900</v>
      </c>
      <c r="F18" s="34">
        <v>5047</v>
      </c>
      <c r="G18" s="33">
        <f>+ROUND($E18*F18,[1]datoActa!$C$8)</f>
        <v>39871300</v>
      </c>
      <c r="H18" s="35">
        <f>+'[1]MAYORES Y MENORES'!J18</f>
        <v>6020.4</v>
      </c>
      <c r="I18" s="36">
        <f>+ROUND($E18*H18,[1]datoActa!$C$8)</f>
        <v>47561160</v>
      </c>
      <c r="J18" s="37">
        <v>5760</v>
      </c>
      <c r="K18" s="33">
        <f>+ROUND($E18*J18,[1]datoActa!$C$8)</f>
        <v>45504000</v>
      </c>
      <c r="L18" s="37">
        <f>+IF(H18&lt;&gt;"",H18-J18,F18-J18)</f>
        <v>260.39999999999964</v>
      </c>
      <c r="M18" s="33">
        <f>+ROUND($E18*L18,[1]datoActa!$C$8)</f>
        <v>2057160</v>
      </c>
      <c r="O18" s="1" t="str">
        <f t="shared" si="0"/>
        <v>ok</v>
      </c>
    </row>
    <row r="19" spans="1:15" x14ac:dyDescent="0.2">
      <c r="A19" s="1">
        <v>10</v>
      </c>
      <c r="B19" s="39"/>
      <c r="C19" s="27" t="s">
        <v>35</v>
      </c>
      <c r="D19" s="28"/>
      <c r="E19" s="28"/>
      <c r="F19" s="28"/>
      <c r="G19" s="29">
        <f>SUM(G20:G21)</f>
        <v>947752000</v>
      </c>
      <c r="H19" s="28"/>
      <c r="I19" s="29">
        <f>SUM(I20:I21)</f>
        <v>1572827260</v>
      </c>
      <c r="J19" s="40"/>
      <c r="K19" s="29">
        <f>SUM(K20:K21)</f>
        <v>970492460</v>
      </c>
      <c r="L19" s="40"/>
      <c r="M19" s="29">
        <f>SUM(M20:M21)</f>
        <v>602334800</v>
      </c>
    </row>
    <row r="20" spans="1:15" ht="25.5" x14ac:dyDescent="0.2">
      <c r="A20" s="1">
        <v>11</v>
      </c>
      <c r="B20" s="30" t="s">
        <v>36</v>
      </c>
      <c r="C20" s="31" t="s">
        <v>37</v>
      </c>
      <c r="D20" s="32" t="s">
        <v>18</v>
      </c>
      <c r="E20" s="33">
        <v>58000</v>
      </c>
      <c r="F20" s="34">
        <v>2509</v>
      </c>
      <c r="G20" s="33">
        <f>+ROUND($E20*F20,[1]datoActa!$C$8)</f>
        <v>145522000</v>
      </c>
      <c r="H20" s="35">
        <f>+'[1]MAYORES Y MENORES'!J20</f>
        <v>8708.1200000000008</v>
      </c>
      <c r="I20" s="36">
        <f>+ROUND($E20*H20,[1]datoActa!$C$8)</f>
        <v>505070960</v>
      </c>
      <c r="J20" s="37">
        <v>5554.22</v>
      </c>
      <c r="K20" s="33">
        <f>+ROUND($E20*J20,[1]datoActa!$C$8)</f>
        <v>322144760</v>
      </c>
      <c r="L20" s="37">
        <f>+IF(H20&lt;&gt;"",H20-J20,F20-J20)</f>
        <v>3153.9000000000005</v>
      </c>
      <c r="M20" s="33">
        <f>+ROUND($E20*L20,[1]datoActa!$C$8)</f>
        <v>182926200</v>
      </c>
      <c r="O20" s="1" t="str">
        <f t="shared" si="0"/>
        <v>ok</v>
      </c>
    </row>
    <row r="21" spans="1:15" ht="25.5" x14ac:dyDescent="0.2">
      <c r="A21" s="1">
        <v>12</v>
      </c>
      <c r="B21" s="30" t="s">
        <v>38</v>
      </c>
      <c r="C21" s="31" t="s">
        <v>39</v>
      </c>
      <c r="D21" s="32" t="s">
        <v>18</v>
      </c>
      <c r="E21" s="33">
        <v>130000</v>
      </c>
      <c r="F21" s="34">
        <v>6171</v>
      </c>
      <c r="G21" s="33">
        <f>+ROUND($E21*F21,[1]datoActa!$C$8)</f>
        <v>802230000</v>
      </c>
      <c r="H21" s="35">
        <f>+'[1]MAYORES Y MENORES'!J21</f>
        <v>8213.51</v>
      </c>
      <c r="I21" s="36">
        <f>+ROUND($E21*H21,[1]datoActa!$C$8)</f>
        <v>1067756300</v>
      </c>
      <c r="J21" s="37">
        <v>4987.29</v>
      </c>
      <c r="K21" s="33">
        <f>+ROUND($E21*J21,[1]datoActa!$C$8)</f>
        <v>648347700</v>
      </c>
      <c r="L21" s="37">
        <f>+IF(H21&lt;&gt;"",H21-J21,F21-J21)</f>
        <v>3226.2200000000003</v>
      </c>
      <c r="M21" s="33">
        <f>+ROUND($E21*L21,[1]datoActa!$C$8)</f>
        <v>419408600</v>
      </c>
      <c r="O21" s="1" t="str">
        <f t="shared" si="0"/>
        <v>ok</v>
      </c>
    </row>
    <row r="22" spans="1:15" x14ac:dyDescent="0.2">
      <c r="A22" s="1">
        <v>13</v>
      </c>
      <c r="B22" s="39"/>
      <c r="C22" s="27" t="s">
        <v>40</v>
      </c>
      <c r="D22" s="28"/>
      <c r="E22" s="28"/>
      <c r="F22" s="28"/>
      <c r="G22" s="29">
        <f>SUM(G23)</f>
        <v>1261441500</v>
      </c>
      <c r="H22" s="28"/>
      <c r="I22" s="29">
        <f>SUM(I23)</f>
        <v>1610365869</v>
      </c>
      <c r="J22" s="40"/>
      <c r="K22" s="29">
        <f>SUM(K23)</f>
        <v>987001980</v>
      </c>
      <c r="L22" s="40"/>
      <c r="M22" s="29">
        <f>SUM(M23)</f>
        <v>623363889</v>
      </c>
    </row>
    <row r="23" spans="1:15" ht="51" x14ac:dyDescent="0.2">
      <c r="A23" s="1">
        <v>14</v>
      </c>
      <c r="B23" s="30" t="s">
        <v>41</v>
      </c>
      <c r="C23" s="31" t="s">
        <v>42</v>
      </c>
      <c r="D23" s="32" t="s">
        <v>43</v>
      </c>
      <c r="E23" s="33">
        <v>1500</v>
      </c>
      <c r="F23" s="34">
        <v>840961</v>
      </c>
      <c r="G23" s="33">
        <f>+ROUND($E23*F23,[1]datoActa!$C$8)</f>
        <v>1261441500</v>
      </c>
      <c r="H23" s="35">
        <f>+'[1]MAYORES Y MENORES'!J23</f>
        <v>1073577.2459999998</v>
      </c>
      <c r="I23" s="36">
        <f>+ROUND($E23*H23,[1]datoActa!$C$8)</f>
        <v>1610365869</v>
      </c>
      <c r="J23" s="37">
        <v>658001.32000000007</v>
      </c>
      <c r="K23" s="33">
        <f>+ROUND($E23*J23,[1]datoActa!$C$8)</f>
        <v>987001980</v>
      </c>
      <c r="L23" s="37">
        <f>+IF(H23&lt;&gt;"",H23-J23,F23-J23)</f>
        <v>415575.92599999974</v>
      </c>
      <c r="M23" s="33">
        <f>+ROUND($E23*L23,[1]datoActa!$C$8)</f>
        <v>623363889</v>
      </c>
      <c r="O23" s="1" t="str">
        <f t="shared" si="0"/>
        <v>ok</v>
      </c>
    </row>
    <row r="24" spans="1:15" x14ac:dyDescent="0.2">
      <c r="A24" s="1">
        <v>15</v>
      </c>
      <c r="B24" s="39"/>
      <c r="C24" s="27" t="s">
        <v>44</v>
      </c>
      <c r="D24" s="28"/>
      <c r="E24" s="28"/>
      <c r="F24" s="28"/>
      <c r="G24" s="29">
        <f>SUM(G25)</f>
        <v>176623200</v>
      </c>
      <c r="H24" s="28"/>
      <c r="I24" s="29">
        <f>SUM(I25)</f>
        <v>474446484</v>
      </c>
      <c r="J24" s="40"/>
      <c r="K24" s="29">
        <f>SUM(K25)</f>
        <v>132896916</v>
      </c>
      <c r="L24" s="40"/>
      <c r="M24" s="29">
        <f>SUM(M25)</f>
        <v>341549568</v>
      </c>
    </row>
    <row r="25" spans="1:15" ht="25.5" x14ac:dyDescent="0.2">
      <c r="A25" s="1">
        <v>16</v>
      </c>
      <c r="B25" s="30" t="s">
        <v>45</v>
      </c>
      <c r="C25" s="31" t="s">
        <v>46</v>
      </c>
      <c r="D25" s="32" t="s">
        <v>47</v>
      </c>
      <c r="E25" s="33">
        <v>5400</v>
      </c>
      <c r="F25" s="34">
        <v>32708</v>
      </c>
      <c r="G25" s="33">
        <f>+ROUND($E25*F25,[1]datoActa!$C$8)</f>
        <v>176623200</v>
      </c>
      <c r="H25" s="35">
        <f>+'[1]MAYORES Y MENORES'!J25</f>
        <v>87860.46</v>
      </c>
      <c r="I25" s="36">
        <f>+ROUND($E25*H25,[1]datoActa!$C$8)</f>
        <v>474446484</v>
      </c>
      <c r="J25" s="37">
        <v>24610.539999999997</v>
      </c>
      <c r="K25" s="33">
        <f>+ROUND($E25*J25,[1]datoActa!$C$8)</f>
        <v>132896916</v>
      </c>
      <c r="L25" s="37">
        <f>+IF(H25&lt;&gt;"",H25-J25,F25-J25)</f>
        <v>63249.920000000013</v>
      </c>
      <c r="M25" s="33">
        <f>+ROUND($E25*L25,[1]datoActa!$C$8)</f>
        <v>341549568</v>
      </c>
      <c r="O25" s="1" t="str">
        <f t="shared" si="0"/>
        <v>ok</v>
      </c>
    </row>
    <row r="26" spans="1:15" x14ac:dyDescent="0.2">
      <c r="A26" s="1">
        <v>17</v>
      </c>
      <c r="B26" s="26"/>
      <c r="C26" s="27" t="s">
        <v>48</v>
      </c>
      <c r="D26" s="28"/>
      <c r="E26" s="28"/>
      <c r="F26" s="28"/>
      <c r="G26" s="29">
        <f>SUM(G27:G37)</f>
        <v>1741617938</v>
      </c>
      <c r="H26" s="28"/>
      <c r="I26" s="29">
        <f>SUM(I27:I37)</f>
        <v>1968309023</v>
      </c>
      <c r="J26" s="41"/>
      <c r="K26" s="29">
        <f>+SUM(K27:K37)</f>
        <v>1064409719</v>
      </c>
      <c r="L26" s="40"/>
      <c r="M26" s="29">
        <f>SUM(M27:M37)</f>
        <v>903899303</v>
      </c>
    </row>
    <row r="27" spans="1:15" ht="25.5" x14ac:dyDescent="0.2">
      <c r="A27" s="1">
        <v>18</v>
      </c>
      <c r="B27" s="30" t="s">
        <v>49</v>
      </c>
      <c r="C27" s="31" t="s">
        <v>50</v>
      </c>
      <c r="D27" s="32" t="s">
        <v>18</v>
      </c>
      <c r="E27" s="33">
        <v>415297</v>
      </c>
      <c r="F27" s="34">
        <v>10</v>
      </c>
      <c r="G27" s="33">
        <f>+ROUND($E27*F27,[1]datoActa!$C$8)</f>
        <v>4152970</v>
      </c>
      <c r="H27" s="35">
        <f>+'[1]MAYORES Y MENORES'!J27</f>
        <v>475.72</v>
      </c>
      <c r="I27" s="36">
        <f>+ROUND($E27*H27,[1]datoActa!$C$8)</f>
        <v>197565089</v>
      </c>
      <c r="J27" s="37">
        <v>205.86</v>
      </c>
      <c r="K27" s="33">
        <f>+ROUND($E27*J27,[1]datoActa!$C$8)</f>
        <v>85493040</v>
      </c>
      <c r="L27" s="37">
        <f>+IF(H27&lt;&gt;"",H27-J27,F27-J27)</f>
        <v>269.86</v>
      </c>
      <c r="M27" s="33">
        <f>+ROUND($E27*L27,[1]datoActa!$C$8)</f>
        <v>112072048</v>
      </c>
      <c r="O27" s="1" t="str">
        <f t="shared" si="0"/>
        <v>ok</v>
      </c>
    </row>
    <row r="28" spans="1:15" ht="25.5" x14ac:dyDescent="0.2">
      <c r="A28" s="1">
        <v>19</v>
      </c>
      <c r="B28" s="30" t="s">
        <v>51</v>
      </c>
      <c r="C28" s="31" t="s">
        <v>52</v>
      </c>
      <c r="D28" s="32" t="s">
        <v>18</v>
      </c>
      <c r="E28" s="33">
        <v>21056</v>
      </c>
      <c r="F28" s="34">
        <v>3409</v>
      </c>
      <c r="G28" s="33">
        <f>+ROUND($E28*F28,[1]datoActa!$C$8)</f>
        <v>71779904</v>
      </c>
      <c r="H28" s="35">
        <f>+'[1]MAYORES Y MENORES'!J28</f>
        <v>4646</v>
      </c>
      <c r="I28" s="36">
        <f>+ROUND($E28*H28,[1]datoActa!$C$8)</f>
        <v>97826176</v>
      </c>
      <c r="J28" s="37">
        <v>3972.6400000000003</v>
      </c>
      <c r="K28" s="33">
        <f>+ROUND($E28*J28,[1]datoActa!$C$8)</f>
        <v>83647908</v>
      </c>
      <c r="L28" s="37">
        <f>+IF(H28&lt;&gt;"",H28-J28,F28-J28)</f>
        <v>673.35999999999967</v>
      </c>
      <c r="M28" s="33">
        <f>+ROUND($E28*L28,[1]datoActa!$C$8)</f>
        <v>14178268</v>
      </c>
      <c r="O28" s="1" t="str">
        <f t="shared" si="0"/>
        <v>ok</v>
      </c>
    </row>
    <row r="29" spans="1:15" x14ac:dyDescent="0.2">
      <c r="A29" s="1">
        <v>20</v>
      </c>
      <c r="B29" s="30" t="s">
        <v>53</v>
      </c>
      <c r="C29" s="38" t="s">
        <v>54</v>
      </c>
      <c r="D29" s="32" t="s">
        <v>18</v>
      </c>
      <c r="E29" s="33">
        <v>841000</v>
      </c>
      <c r="F29" s="34">
        <v>293</v>
      </c>
      <c r="G29" s="33">
        <f>+ROUND($E29*F29,[1]datoActa!$C$8)</f>
        <v>246413000</v>
      </c>
      <c r="H29" s="35">
        <f>+'[1]MAYORES Y MENORES'!J29</f>
        <v>793.64</v>
      </c>
      <c r="I29" s="36">
        <f>+ROUND($E29*H29,[1]datoActa!$C$8)</f>
        <v>667451240</v>
      </c>
      <c r="J29" s="37">
        <v>343.01</v>
      </c>
      <c r="K29" s="33">
        <f>+ROUND($E29*J29,[1]datoActa!$C$8)</f>
        <v>288471410</v>
      </c>
      <c r="L29" s="37">
        <f>+IF(H29&lt;&gt;"",H29-J29,F29-J29)</f>
        <v>450.63</v>
      </c>
      <c r="M29" s="33">
        <f>+ROUND($E29*L29,[1]datoActa!$C$8)</f>
        <v>378979830</v>
      </c>
      <c r="O29" s="1" t="str">
        <f t="shared" si="0"/>
        <v>ok</v>
      </c>
    </row>
    <row r="30" spans="1:15" x14ac:dyDescent="0.2">
      <c r="A30" s="1">
        <v>21</v>
      </c>
      <c r="B30" s="30" t="s">
        <v>55</v>
      </c>
      <c r="C30" s="38" t="s">
        <v>56</v>
      </c>
      <c r="D30" s="32" t="s">
        <v>18</v>
      </c>
      <c r="E30" s="33">
        <v>571500</v>
      </c>
      <c r="F30" s="34">
        <v>15</v>
      </c>
      <c r="G30" s="33">
        <f>+ROUND($E30*F30,[1]datoActa!$C$8)</f>
        <v>8572500</v>
      </c>
      <c r="H30" s="35">
        <f>+'[1]MAYORES Y MENORES'!J30</f>
        <v>29.25</v>
      </c>
      <c r="I30" s="36">
        <f>+ROUND($E30*H30,[1]datoActa!$C$8)</f>
        <v>16716375</v>
      </c>
      <c r="J30" s="37">
        <v>18.25</v>
      </c>
      <c r="K30" s="33">
        <f>+ROUND($E30*J30,[1]datoActa!$C$8)</f>
        <v>10429875</v>
      </c>
      <c r="L30" s="37">
        <f>+IF(H30&lt;&gt;"",H30-J30,F30-J30)</f>
        <v>11</v>
      </c>
      <c r="M30" s="33">
        <f>+ROUND($E30*L30,[1]datoActa!$C$8)</f>
        <v>6286500</v>
      </c>
      <c r="O30" s="1" t="str">
        <f t="shared" si="0"/>
        <v>ok</v>
      </c>
    </row>
    <row r="31" spans="1:15" x14ac:dyDescent="0.2">
      <c r="A31" s="1">
        <v>22</v>
      </c>
      <c r="B31" s="30" t="s">
        <v>57</v>
      </c>
      <c r="C31" s="38" t="s">
        <v>58</v>
      </c>
      <c r="D31" s="32" t="s">
        <v>18</v>
      </c>
      <c r="E31" s="33">
        <v>780071</v>
      </c>
      <c r="F31" s="34">
        <v>6</v>
      </c>
      <c r="G31" s="33">
        <f>+ROUND($E31*F31,[1]datoActa!$C$8)</f>
        <v>4680426</v>
      </c>
      <c r="H31" s="35">
        <f>+'[1]MAYORES Y MENORES'!J31</f>
        <v>4.9400000000000004</v>
      </c>
      <c r="I31" s="36">
        <f>+ROUND($E31*H31,[1]datoActa!$C$8)</f>
        <v>3853551</v>
      </c>
      <c r="J31" s="37">
        <v>4.53</v>
      </c>
      <c r="K31" s="33">
        <f>+ROUND($E31*J31,[1]datoActa!$C$8)</f>
        <v>3533722</v>
      </c>
      <c r="L31" s="37">
        <f>+IF(H31&lt;&gt;"",H31-J31,F31-J31)</f>
        <v>0.41000000000000014</v>
      </c>
      <c r="M31" s="33">
        <f>+ROUND($E31*L31,[1]datoActa!$C$8)</f>
        <v>319829</v>
      </c>
      <c r="O31" s="1" t="str">
        <f t="shared" si="0"/>
        <v>ok</v>
      </c>
    </row>
    <row r="32" spans="1:15" x14ac:dyDescent="0.2">
      <c r="A32" s="1">
        <v>23</v>
      </c>
      <c r="B32" s="30" t="s">
        <v>59</v>
      </c>
      <c r="C32" s="38" t="s">
        <v>60</v>
      </c>
      <c r="D32" s="32" t="s">
        <v>18</v>
      </c>
      <c r="E32" s="33">
        <v>835323</v>
      </c>
      <c r="F32" s="34">
        <v>14</v>
      </c>
      <c r="G32" s="33">
        <f>+ROUND($E32*F32,[1]datoActa!$C$8)</f>
        <v>11694522</v>
      </c>
      <c r="H32" s="35">
        <f>+'[1]MAYORES Y MENORES'!J32</f>
        <v>13.3</v>
      </c>
      <c r="I32" s="36">
        <f>+ROUND($E32*H32,[1]datoActa!$C$8)</f>
        <v>11109796</v>
      </c>
      <c r="J32" s="37">
        <v>13.299999999999999</v>
      </c>
      <c r="K32" s="33">
        <f>+ROUND($E32*J32,[1]datoActa!$C$8)</f>
        <v>11109796</v>
      </c>
      <c r="L32" s="37">
        <f>+IF(H32&lt;&gt;"",H32-J32,F32-J32)</f>
        <v>1.7763568394002505E-15</v>
      </c>
      <c r="M32" s="33">
        <f>+ROUND($E32*L32,[1]datoActa!$C$8)</f>
        <v>0</v>
      </c>
      <c r="O32" s="1" t="str">
        <f t="shared" si="0"/>
        <v>ok</v>
      </c>
    </row>
    <row r="33" spans="1:15" ht="38.25" x14ac:dyDescent="0.2">
      <c r="A33" s="1">
        <v>24</v>
      </c>
      <c r="B33" s="30" t="s">
        <v>61</v>
      </c>
      <c r="C33" s="31" t="s">
        <v>62</v>
      </c>
      <c r="D33" s="32" t="s">
        <v>63</v>
      </c>
      <c r="E33" s="33">
        <v>83088</v>
      </c>
      <c r="F33" s="34">
        <v>32</v>
      </c>
      <c r="G33" s="33">
        <f>+ROUND($E33*F33,[1]datoActa!$C$8)</f>
        <v>2658816</v>
      </c>
      <c r="H33" s="35">
        <f>+'[1]MAYORES Y MENORES'!J33</f>
        <v>29</v>
      </c>
      <c r="I33" s="36">
        <f>+ROUND($E33*H33,[1]datoActa!$C$8)</f>
        <v>2409552</v>
      </c>
      <c r="J33" s="37">
        <v>29</v>
      </c>
      <c r="K33" s="33">
        <f>+ROUND($E33*J33,[1]datoActa!$C$8)</f>
        <v>2409552</v>
      </c>
      <c r="L33" s="37">
        <f>+IF(H33&lt;&gt;"",H33-J33,F33-J33)</f>
        <v>0</v>
      </c>
      <c r="M33" s="33">
        <f>+ROUND($E33*L33,[1]datoActa!$C$8)</f>
        <v>0</v>
      </c>
      <c r="O33" s="1" t="str">
        <f t="shared" si="0"/>
        <v>ok</v>
      </c>
    </row>
    <row r="34" spans="1:15" x14ac:dyDescent="0.2">
      <c r="A34" s="1">
        <v>25</v>
      </c>
      <c r="B34" s="30" t="s">
        <v>64</v>
      </c>
      <c r="C34" s="42" t="s">
        <v>65</v>
      </c>
      <c r="D34" s="32" t="s">
        <v>18</v>
      </c>
      <c r="E34" s="33">
        <v>118000</v>
      </c>
      <c r="F34" s="34">
        <v>2154</v>
      </c>
      <c r="G34" s="33">
        <f>+ROUND($E34*F34,[1]datoActa!$C$8)</f>
        <v>254172000</v>
      </c>
      <c r="H34" s="35">
        <f>+'[1]MAYORES Y MENORES'!J34</f>
        <v>0</v>
      </c>
      <c r="I34" s="36">
        <f>+ROUND($E34*H34,[1]datoActa!$C$8)</f>
        <v>0</v>
      </c>
      <c r="J34" s="37">
        <v>0</v>
      </c>
      <c r="K34" s="33">
        <f>+ROUND($E34*J34,[1]datoActa!$C$8)</f>
        <v>0</v>
      </c>
      <c r="L34" s="37">
        <f>+IF(H34&lt;&gt;"",H34-J34,F34-J34)</f>
        <v>0</v>
      </c>
      <c r="M34" s="33">
        <f>+ROUND($E34*L34,[1]datoActa!$C$8)</f>
        <v>0</v>
      </c>
      <c r="O34" s="1" t="str">
        <f t="shared" si="0"/>
        <v>ok</v>
      </c>
    </row>
    <row r="35" spans="1:15" ht="25.5" x14ac:dyDescent="0.2">
      <c r="A35" s="1">
        <v>26</v>
      </c>
      <c r="B35" s="30" t="s">
        <v>66</v>
      </c>
      <c r="C35" s="31" t="s">
        <v>67</v>
      </c>
      <c r="D35" s="32" t="s">
        <v>18</v>
      </c>
      <c r="E35" s="33">
        <v>135000</v>
      </c>
      <c r="F35" s="34">
        <v>1057</v>
      </c>
      <c r="G35" s="33">
        <f>+ROUND($E35*F35,[1]datoActa!$C$8)</f>
        <v>142695000</v>
      </c>
      <c r="H35" s="35">
        <f>+'[1]MAYORES Y MENORES'!J35</f>
        <v>235.48</v>
      </c>
      <c r="I35" s="36">
        <f>+ROUND($E35*H35,[1]datoActa!$C$8)</f>
        <v>31789800</v>
      </c>
      <c r="J35" s="37">
        <v>7.97</v>
      </c>
      <c r="K35" s="33">
        <f>+ROUND($E35*J35,[1]datoActa!$C$8)</f>
        <v>1075950</v>
      </c>
      <c r="L35" s="37">
        <f>+IF(H35&lt;&gt;"",H35-J35,F35-J35)</f>
        <v>227.51</v>
      </c>
      <c r="M35" s="33">
        <f>+ROUND($E35*L35,[1]datoActa!$C$8)</f>
        <v>30713850</v>
      </c>
      <c r="O35" s="1" t="str">
        <f t="shared" si="0"/>
        <v>ok</v>
      </c>
    </row>
    <row r="36" spans="1:15" x14ac:dyDescent="0.2">
      <c r="A36" s="1">
        <v>27</v>
      </c>
      <c r="B36" s="30" t="s">
        <v>68</v>
      </c>
      <c r="C36" s="38" t="s">
        <v>69</v>
      </c>
      <c r="D36" s="32" t="s">
        <v>70</v>
      </c>
      <c r="E36" s="33">
        <v>1550000</v>
      </c>
      <c r="F36" s="34">
        <v>179</v>
      </c>
      <c r="G36" s="33">
        <f>+ROUND($E36*F36,[1]datoActa!$C$8)</f>
        <v>277450000</v>
      </c>
      <c r="H36" s="35">
        <f>+'[1]MAYORES Y MENORES'!J36</f>
        <v>252.2</v>
      </c>
      <c r="I36" s="36">
        <f>+ROUND($E36*H36,[1]datoActa!$C$8)</f>
        <v>390910000</v>
      </c>
      <c r="J36" s="37">
        <v>198.1</v>
      </c>
      <c r="K36" s="33">
        <f>+ROUND($E36*J36,[1]datoActa!$C$8)</f>
        <v>307055000</v>
      </c>
      <c r="L36" s="37">
        <f>+IF(H36&lt;&gt;"",H36-J36,F36-J36)</f>
        <v>54.099999999999994</v>
      </c>
      <c r="M36" s="33">
        <f>+ROUND($E36*L36,[1]datoActa!$C$8)</f>
        <v>83855000</v>
      </c>
      <c r="O36" s="1" t="str">
        <f t="shared" si="0"/>
        <v>ok</v>
      </c>
    </row>
    <row r="37" spans="1:15" x14ac:dyDescent="0.2">
      <c r="A37" s="1">
        <v>28</v>
      </c>
      <c r="B37" s="43">
        <v>6100</v>
      </c>
      <c r="C37" s="38" t="s">
        <v>71</v>
      </c>
      <c r="D37" s="32" t="s">
        <v>18</v>
      </c>
      <c r="E37" s="33">
        <v>674200</v>
      </c>
      <c r="F37" s="34">
        <v>1064</v>
      </c>
      <c r="G37" s="33">
        <f>+ROUND($E37*F37,[1]datoActa!$C$8)</f>
        <v>717348800</v>
      </c>
      <c r="H37" s="35">
        <f>+'[1]MAYORES Y MENORES'!J37</f>
        <v>813.82</v>
      </c>
      <c r="I37" s="36">
        <f>+ROUND($E37*H37,[1]datoActa!$C$8)</f>
        <v>548677444</v>
      </c>
      <c r="J37" s="37">
        <v>402.23</v>
      </c>
      <c r="K37" s="33">
        <f>+ROUND($E37*J37,[1]datoActa!$C$8)</f>
        <v>271183466</v>
      </c>
      <c r="L37" s="37">
        <f>+IF(H37&lt;&gt;"",H37-J37,F37-J37)</f>
        <v>411.59000000000003</v>
      </c>
      <c r="M37" s="33">
        <f>+ROUND($E37*L37,[1]datoActa!$C$8)</f>
        <v>277493978</v>
      </c>
      <c r="O37" s="1" t="str">
        <f t="shared" si="0"/>
        <v>ok</v>
      </c>
    </row>
    <row r="38" spans="1:15" x14ac:dyDescent="0.2">
      <c r="A38" s="1">
        <v>29</v>
      </c>
      <c r="B38" s="39"/>
      <c r="C38" s="27" t="s">
        <v>72</v>
      </c>
      <c r="D38" s="28"/>
      <c r="E38" s="28"/>
      <c r="F38" s="28"/>
      <c r="G38" s="29">
        <f>SUM(G39:G41)</f>
        <v>1938313000</v>
      </c>
      <c r="H38" s="28"/>
      <c r="I38" s="29">
        <f>SUM(I39:I41)</f>
        <v>1925372500</v>
      </c>
      <c r="J38" s="40"/>
      <c r="K38" s="29">
        <f>SUM(K39:K41)</f>
        <v>1226434370</v>
      </c>
      <c r="L38" s="40"/>
      <c r="M38" s="29">
        <f>SUM(M39:M41)</f>
        <v>698938130</v>
      </c>
    </row>
    <row r="39" spans="1:15" ht="25.5" x14ac:dyDescent="0.2">
      <c r="A39" s="1">
        <v>30</v>
      </c>
      <c r="B39" s="30" t="s">
        <v>73</v>
      </c>
      <c r="C39" s="31" t="s">
        <v>74</v>
      </c>
      <c r="D39" s="32" t="s">
        <v>70</v>
      </c>
      <c r="E39" s="33">
        <v>63000</v>
      </c>
      <c r="F39" s="34">
        <v>5386</v>
      </c>
      <c r="G39" s="33">
        <f>+ROUND($E39*F39,[1]datoActa!$C$8)</f>
        <v>339318000</v>
      </c>
      <c r="H39" s="35">
        <f>+'[1]MAYORES Y MENORES'!J39</f>
        <v>5388</v>
      </c>
      <c r="I39" s="36">
        <f>+ROUND($E39*H39,[1]datoActa!$C$8)</f>
        <v>339444000</v>
      </c>
      <c r="J39" s="37">
        <v>4402.49</v>
      </c>
      <c r="K39" s="33">
        <f>+ROUND($E39*J39,[1]datoActa!$C$8)</f>
        <v>277356870</v>
      </c>
      <c r="L39" s="37">
        <f>+IF(H39&lt;&gt;"",H39-J39,F39-J39)</f>
        <v>985.51000000000022</v>
      </c>
      <c r="M39" s="33">
        <f>+ROUND($E39*L39,[1]datoActa!$C$8)</f>
        <v>62087130</v>
      </c>
      <c r="O39" s="1" t="str">
        <f t="shared" si="0"/>
        <v>ok</v>
      </c>
    </row>
    <row r="40" spans="1:15" x14ac:dyDescent="0.2">
      <c r="A40" s="1">
        <v>31</v>
      </c>
      <c r="B40" s="30" t="s">
        <v>75</v>
      </c>
      <c r="C40" s="31" t="s">
        <v>76</v>
      </c>
      <c r="D40" s="32" t="s">
        <v>18</v>
      </c>
      <c r="E40" s="33">
        <v>2500</v>
      </c>
      <c r="F40" s="34">
        <v>20068</v>
      </c>
      <c r="G40" s="33">
        <f>+ROUND($E40*F40,[1]datoActa!$C$8)</f>
        <v>50170000</v>
      </c>
      <c r="H40" s="35">
        <f>+'[1]MAYORES Y MENORES'!J40</f>
        <v>13722</v>
      </c>
      <c r="I40" s="36">
        <f>+ROUND($E40*H40,[1]datoActa!$C$8)</f>
        <v>34305000</v>
      </c>
      <c r="J40" s="37">
        <v>0</v>
      </c>
      <c r="K40" s="33">
        <f>+ROUND($E40*J40,[1]datoActa!$C$8)</f>
        <v>0</v>
      </c>
      <c r="L40" s="37">
        <f>+IF(H40&lt;&gt;"",H40-J40,F40-J40)</f>
        <v>13722</v>
      </c>
      <c r="M40" s="33">
        <f>+ROUND($E40*L40,[1]datoActa!$C$8)</f>
        <v>34305000</v>
      </c>
      <c r="O40" s="1" t="str">
        <f t="shared" si="0"/>
        <v>ok</v>
      </c>
    </row>
    <row r="41" spans="1:15" ht="25.5" x14ac:dyDescent="0.2">
      <c r="A41" s="1">
        <v>32</v>
      </c>
      <c r="B41" s="30" t="s">
        <v>77</v>
      </c>
      <c r="C41" s="31" t="s">
        <v>78</v>
      </c>
      <c r="D41" s="32" t="s">
        <v>18</v>
      </c>
      <c r="E41" s="33">
        <v>965000</v>
      </c>
      <c r="F41" s="34">
        <v>1605</v>
      </c>
      <c r="G41" s="33">
        <f>+ROUND($E41*F41,[1]datoActa!$C$8)</f>
        <v>1548825000</v>
      </c>
      <c r="H41" s="35">
        <f>+'[1]MAYORES Y MENORES'!J41</f>
        <v>1607.9</v>
      </c>
      <c r="I41" s="36">
        <f>+ROUND($E41*H41,[1]datoActa!$C$8)</f>
        <v>1551623500</v>
      </c>
      <c r="J41" s="37">
        <v>983.5</v>
      </c>
      <c r="K41" s="33">
        <f>+ROUND($E41*J41,[1]datoActa!$C$8)</f>
        <v>949077500</v>
      </c>
      <c r="L41" s="37">
        <f>+IF(H41&lt;&gt;"",H41-J41,F41-J41)</f>
        <v>624.40000000000009</v>
      </c>
      <c r="M41" s="33">
        <f>+ROUND($E41*L41,[1]datoActa!$C$8)</f>
        <v>602546000</v>
      </c>
      <c r="O41" s="1" t="str">
        <f t="shared" si="0"/>
        <v>ok</v>
      </c>
    </row>
    <row r="42" spans="1:15" x14ac:dyDescent="0.2">
      <c r="A42" s="1">
        <v>33</v>
      </c>
      <c r="B42" s="39"/>
      <c r="C42" s="27" t="s">
        <v>79</v>
      </c>
      <c r="D42" s="28"/>
      <c r="E42" s="28"/>
      <c r="F42" s="28"/>
      <c r="G42" s="29">
        <f>SUM(G43)</f>
        <v>21312000</v>
      </c>
      <c r="H42" s="28"/>
      <c r="I42" s="29">
        <f>SUM(I43)</f>
        <v>19647000</v>
      </c>
      <c r="J42" s="40"/>
      <c r="K42" s="29">
        <f>SUM(K43)</f>
        <v>0</v>
      </c>
      <c r="L42" s="40"/>
      <c r="M42" s="29">
        <f>SUM(M43)</f>
        <v>19647000</v>
      </c>
    </row>
    <row r="43" spans="1:15" ht="51" x14ac:dyDescent="0.2">
      <c r="A43" s="1">
        <v>34</v>
      </c>
      <c r="B43" s="30" t="s">
        <v>80</v>
      </c>
      <c r="C43" s="31" t="s">
        <v>81</v>
      </c>
      <c r="D43" s="32" t="s">
        <v>82</v>
      </c>
      <c r="E43" s="33">
        <v>333000</v>
      </c>
      <c r="F43" s="34">
        <v>64</v>
      </c>
      <c r="G43" s="33">
        <f>+ROUND($E43*F43,[1]datoActa!$C$8)</f>
        <v>21312000</v>
      </c>
      <c r="H43" s="35">
        <f>+'[1]MAYORES Y MENORES'!J43</f>
        <v>59</v>
      </c>
      <c r="I43" s="36">
        <f>+ROUND($E43*H43,[1]datoActa!$C$8)</f>
        <v>19647000</v>
      </c>
      <c r="J43" s="37">
        <v>0</v>
      </c>
      <c r="K43" s="33">
        <f>+ROUND($E43*J43,[1]datoActa!$C$8)</f>
        <v>0</v>
      </c>
      <c r="L43" s="37">
        <f>+IF(H43&lt;&gt;"",H43-J43,F43-J43)</f>
        <v>59</v>
      </c>
      <c r="M43" s="33">
        <f>+ROUND($E43*L43,[1]datoActa!$C$8)</f>
        <v>19647000</v>
      </c>
      <c r="O43" s="1" t="str">
        <f t="shared" si="0"/>
        <v>ok</v>
      </c>
    </row>
    <row r="44" spans="1:15" x14ac:dyDescent="0.2">
      <c r="A44" s="1">
        <v>35</v>
      </c>
      <c r="B44" s="44"/>
      <c r="C44" s="27" t="s">
        <v>83</v>
      </c>
      <c r="D44" s="27"/>
      <c r="E44" s="27"/>
      <c r="F44" s="27"/>
      <c r="G44" s="45">
        <f>SUM(G45:G63)</f>
        <v>0</v>
      </c>
      <c r="H44" s="27"/>
      <c r="I44" s="29">
        <f>SUM(I45:I63)</f>
        <v>450225515</v>
      </c>
      <c r="J44" s="40"/>
      <c r="K44" s="29">
        <f>SUM(K45:K63)</f>
        <v>350815768</v>
      </c>
      <c r="L44" s="41"/>
      <c r="M44" s="45">
        <f>SUM(M45:M63)</f>
        <v>99409747</v>
      </c>
    </row>
    <row r="45" spans="1:15" ht="51" x14ac:dyDescent="0.2">
      <c r="A45" s="1">
        <v>36</v>
      </c>
      <c r="B45" s="30" t="s">
        <v>84</v>
      </c>
      <c r="C45" s="46" t="s">
        <v>85</v>
      </c>
      <c r="D45" s="32" t="s">
        <v>18</v>
      </c>
      <c r="E45" s="36">
        <v>107559</v>
      </c>
      <c r="F45" s="34"/>
      <c r="G45" s="33">
        <f>+ROUND($E45*F45,[1]datoActa!$C$8)</f>
        <v>0</v>
      </c>
      <c r="H45" s="35">
        <f>+'[1]MAYORES Y MENORES'!J45</f>
        <v>2448.31</v>
      </c>
      <c r="I45" s="33">
        <f>+ROUND($E45*H45,[1]datoActa!$C$8)</f>
        <v>263337775</v>
      </c>
      <c r="J45" s="37">
        <v>2005.33</v>
      </c>
      <c r="K45" s="33">
        <f>+ROUND($E45*J45,[1]datoActa!$C$8)</f>
        <v>215691289</v>
      </c>
      <c r="L45" s="37">
        <f>+IF(H45&lt;&gt;"",H45-J45,F45-J45)</f>
        <v>442.98</v>
      </c>
      <c r="M45" s="33">
        <f>+ROUND($E45*L45,[1]datoActa!$C$8)</f>
        <v>47646486</v>
      </c>
      <c r="O45" s="1" t="str">
        <f t="shared" si="0"/>
        <v>ok</v>
      </c>
    </row>
    <row r="46" spans="1:15" x14ac:dyDescent="0.2">
      <c r="A46" s="1">
        <v>37</v>
      </c>
      <c r="B46" s="30" t="s">
        <v>86</v>
      </c>
      <c r="C46" s="31" t="s">
        <v>87</v>
      </c>
      <c r="D46" s="32" t="s">
        <v>18</v>
      </c>
      <c r="E46" s="36">
        <v>107965</v>
      </c>
      <c r="F46" s="34"/>
      <c r="G46" s="33">
        <f>+ROUND($E46*F46,[1]datoActa!$C$8)</f>
        <v>0</v>
      </c>
      <c r="H46" s="35">
        <f>+'[1]MAYORES Y MENORES'!J46</f>
        <v>57.75</v>
      </c>
      <c r="I46" s="33">
        <f>+ROUND($E46*H46,[1]datoActa!$C$8)</f>
        <v>6234979</v>
      </c>
      <c r="J46" s="37">
        <v>0</v>
      </c>
      <c r="K46" s="33">
        <f>+ROUND($E46*J46,[1]datoActa!$C$8)</f>
        <v>0</v>
      </c>
      <c r="L46" s="37">
        <f>+IF(H46&lt;&gt;"",H46-J46,F46-J46)</f>
        <v>57.75</v>
      </c>
      <c r="M46" s="33">
        <f>+ROUND($E46*L46,[1]datoActa!$C$8)</f>
        <v>6234979</v>
      </c>
      <c r="O46" s="1" t="str">
        <f t="shared" si="0"/>
        <v>ok</v>
      </c>
    </row>
    <row r="47" spans="1:15" x14ac:dyDescent="0.2">
      <c r="A47" s="1">
        <v>38</v>
      </c>
      <c r="B47" s="30" t="s">
        <v>88</v>
      </c>
      <c r="C47" s="31" t="s">
        <v>89</v>
      </c>
      <c r="D47" s="32" t="s">
        <v>90</v>
      </c>
      <c r="E47" s="36">
        <v>827561</v>
      </c>
      <c r="F47" s="34"/>
      <c r="G47" s="33">
        <f>+ROUND($E47*F47,[1]datoActa!$C$8)</f>
        <v>0</v>
      </c>
      <c r="H47" s="35">
        <f>+'[1]MAYORES Y MENORES'!J47</f>
        <v>60</v>
      </c>
      <c r="I47" s="33">
        <f>+ROUND($E47*H47,[1]datoActa!$C$8)</f>
        <v>49653660</v>
      </c>
      <c r="J47" s="37">
        <v>60</v>
      </c>
      <c r="K47" s="33">
        <f>+ROUND($E47*J47,[1]datoActa!$C$8)</f>
        <v>49653660</v>
      </c>
      <c r="L47" s="37">
        <f>+IF(H47&lt;&gt;"",H47-J47,F47-J47)</f>
        <v>0</v>
      </c>
      <c r="M47" s="33">
        <f>+ROUND($E47*L47,[1]datoActa!$C$8)</f>
        <v>0</v>
      </c>
      <c r="O47" s="1" t="str">
        <f t="shared" si="0"/>
        <v>ok</v>
      </c>
    </row>
    <row r="48" spans="1:15" ht="57" customHeight="1" x14ac:dyDescent="0.2">
      <c r="A48" s="1">
        <v>39</v>
      </c>
      <c r="B48" s="30" t="s">
        <v>91</v>
      </c>
      <c r="C48" s="31" t="s">
        <v>92</v>
      </c>
      <c r="D48" s="32" t="s">
        <v>90</v>
      </c>
      <c r="E48" s="36">
        <v>463589</v>
      </c>
      <c r="F48" s="34"/>
      <c r="G48" s="33">
        <f>+ROUND($E48*F48,[1]datoActa!$C$8)</f>
        <v>0</v>
      </c>
      <c r="H48" s="35">
        <f>+'[1]MAYORES Y MENORES'!J48</f>
        <v>10</v>
      </c>
      <c r="I48" s="33">
        <f>+ROUND($E48*H48,[1]datoActa!$C$8)</f>
        <v>4635890</v>
      </c>
      <c r="J48" s="37">
        <v>10</v>
      </c>
      <c r="K48" s="33">
        <f>+ROUND($E48*J48,[1]datoActa!$C$8)</f>
        <v>4635890</v>
      </c>
      <c r="L48" s="37">
        <f>+IF(H48&lt;&gt;"",H48-J48,F48-J48)</f>
        <v>0</v>
      </c>
      <c r="M48" s="33">
        <f>+ROUND($E48*L48,[1]datoActa!$C$8)</f>
        <v>0</v>
      </c>
      <c r="O48" s="1" t="str">
        <f t="shared" si="0"/>
        <v>ok</v>
      </c>
    </row>
    <row r="49" spans="1:22" ht="51" x14ac:dyDescent="0.2">
      <c r="A49" s="1">
        <v>40</v>
      </c>
      <c r="B49" s="30" t="s">
        <v>93</v>
      </c>
      <c r="C49" s="31" t="s">
        <v>94</v>
      </c>
      <c r="D49" s="32" t="s">
        <v>90</v>
      </c>
      <c r="E49" s="36">
        <v>501747</v>
      </c>
      <c r="F49" s="34"/>
      <c r="G49" s="33">
        <f>+ROUND($E49*F49,[1]datoActa!$C$8)</f>
        <v>0</v>
      </c>
      <c r="H49" s="35">
        <f>+'[1]MAYORES Y MENORES'!J49</f>
        <v>10</v>
      </c>
      <c r="I49" s="33">
        <f>+ROUND($E49*H49,[1]datoActa!$C$8)</f>
        <v>5017470</v>
      </c>
      <c r="J49" s="37">
        <v>10</v>
      </c>
      <c r="K49" s="33">
        <f>+ROUND($E49*J49,[1]datoActa!$C$8)</f>
        <v>5017470</v>
      </c>
      <c r="L49" s="37">
        <f>+IF(H49&lt;&gt;"",H49-J49,F49-J49)</f>
        <v>0</v>
      </c>
      <c r="M49" s="33">
        <f>+ROUND($E49*L49,[1]datoActa!$C$8)</f>
        <v>0</v>
      </c>
      <c r="O49" s="1" t="str">
        <f t="shared" si="0"/>
        <v>ok</v>
      </c>
    </row>
    <row r="50" spans="1:22" ht="51" x14ac:dyDescent="0.2">
      <c r="A50" s="1">
        <v>41</v>
      </c>
      <c r="B50" s="30" t="s">
        <v>95</v>
      </c>
      <c r="C50" s="31" t="s">
        <v>96</v>
      </c>
      <c r="D50" s="32" t="s">
        <v>90</v>
      </c>
      <c r="E50" s="36">
        <v>525599</v>
      </c>
      <c r="F50" s="34"/>
      <c r="G50" s="33">
        <f>+ROUND($E50*F50,[1]datoActa!$C$8)</f>
        <v>0</v>
      </c>
      <c r="H50" s="35">
        <f>+'[1]MAYORES Y MENORES'!J50</f>
        <v>10</v>
      </c>
      <c r="I50" s="33">
        <f>+ROUND($E50*H50,[1]datoActa!$C$8)</f>
        <v>5255990</v>
      </c>
      <c r="J50" s="37">
        <v>10</v>
      </c>
      <c r="K50" s="33">
        <f>+ROUND($E50*J50,[1]datoActa!$C$8)</f>
        <v>5255990</v>
      </c>
      <c r="L50" s="37">
        <f>+IF(H50&lt;&gt;"",H50-J50,F50-J50)</f>
        <v>0</v>
      </c>
      <c r="M50" s="33">
        <f>+ROUND($E50*L50,[1]datoActa!$C$8)</f>
        <v>0</v>
      </c>
      <c r="O50" s="1" t="str">
        <f t="shared" si="0"/>
        <v>ok</v>
      </c>
    </row>
    <row r="51" spans="1:22" ht="51" x14ac:dyDescent="0.2">
      <c r="A51" s="1">
        <v>42</v>
      </c>
      <c r="B51" s="30" t="s">
        <v>97</v>
      </c>
      <c r="C51" s="31" t="s">
        <v>98</v>
      </c>
      <c r="D51" s="32" t="s">
        <v>90</v>
      </c>
      <c r="E51" s="36">
        <v>547727</v>
      </c>
      <c r="F51" s="34"/>
      <c r="G51" s="33">
        <f>+ROUND($E51*F51,[1]datoActa!$C$8)</f>
        <v>0</v>
      </c>
      <c r="H51" s="35">
        <f>+'[1]MAYORES Y MENORES'!J51</f>
        <v>10</v>
      </c>
      <c r="I51" s="33">
        <f>+ROUND($E51*H51,[1]datoActa!$C$8)</f>
        <v>5477270</v>
      </c>
      <c r="J51" s="37">
        <v>10</v>
      </c>
      <c r="K51" s="33">
        <f>+ROUND($E51*J51,[1]datoActa!$C$8)</f>
        <v>5477270</v>
      </c>
      <c r="L51" s="37">
        <f>+IF(H51&lt;&gt;"",H51-J51,F51-J51)</f>
        <v>0</v>
      </c>
      <c r="M51" s="33">
        <f>+ROUND($E51*L51,[1]datoActa!$C$8)</f>
        <v>0</v>
      </c>
      <c r="O51" s="1" t="str">
        <f t="shared" si="0"/>
        <v>ok</v>
      </c>
    </row>
    <row r="52" spans="1:22" ht="51" x14ac:dyDescent="0.2">
      <c r="A52" s="1">
        <v>43</v>
      </c>
      <c r="B52" s="30" t="s">
        <v>99</v>
      </c>
      <c r="C52" s="31" t="s">
        <v>100</v>
      </c>
      <c r="D52" s="32" t="s">
        <v>90</v>
      </c>
      <c r="E52" s="36">
        <v>584117</v>
      </c>
      <c r="F52" s="34"/>
      <c r="G52" s="33">
        <f>+ROUND($E52*F52,[1]datoActa!$C$8)</f>
        <v>0</v>
      </c>
      <c r="H52" s="35">
        <f>+'[1]MAYORES Y MENORES'!J52</f>
        <v>10</v>
      </c>
      <c r="I52" s="33">
        <f>+ROUND($E52*H52,[1]datoActa!$C$8)</f>
        <v>5841170</v>
      </c>
      <c r="J52" s="37">
        <v>10</v>
      </c>
      <c r="K52" s="33">
        <f>+ROUND($E52*J52,[1]datoActa!$C$8)</f>
        <v>5841170</v>
      </c>
      <c r="L52" s="37">
        <f>+IF(H52&lt;&gt;"",H52-J52,F52-J52)</f>
        <v>0</v>
      </c>
      <c r="M52" s="33">
        <f>+ROUND($E52*L52,[1]datoActa!$C$8)</f>
        <v>0</v>
      </c>
      <c r="O52" s="1" t="str">
        <f t="shared" si="0"/>
        <v>ok</v>
      </c>
    </row>
    <row r="53" spans="1:22" ht="51" x14ac:dyDescent="0.2">
      <c r="A53" s="1">
        <v>44</v>
      </c>
      <c r="B53" s="30" t="s">
        <v>101</v>
      </c>
      <c r="C53" s="31" t="s">
        <v>102</v>
      </c>
      <c r="D53" s="32" t="s">
        <v>90</v>
      </c>
      <c r="E53" s="36">
        <v>621390</v>
      </c>
      <c r="F53" s="34"/>
      <c r="G53" s="33">
        <f>+ROUND($E53*F53,[1]datoActa!$C$8)</f>
        <v>0</v>
      </c>
      <c r="H53" s="35">
        <f>+'[1]MAYORES Y MENORES'!J53</f>
        <v>10</v>
      </c>
      <c r="I53" s="33">
        <f>+ROUND($E53*H53,[1]datoActa!$C$8)</f>
        <v>6213900</v>
      </c>
      <c r="J53" s="37">
        <v>10</v>
      </c>
      <c r="K53" s="33">
        <f>+ROUND($E53*J53,[1]datoActa!$C$8)</f>
        <v>6213900</v>
      </c>
      <c r="L53" s="37">
        <f>+IF(H53&lt;&gt;"",H53-J53,F53-J53)</f>
        <v>0</v>
      </c>
      <c r="M53" s="33">
        <f>+ROUND($E53*L53,[1]datoActa!$C$8)</f>
        <v>0</v>
      </c>
      <c r="O53" s="1" t="str">
        <f t="shared" si="0"/>
        <v>ok</v>
      </c>
    </row>
    <row r="54" spans="1:22" ht="25.5" x14ac:dyDescent="0.2">
      <c r="A54" s="1">
        <v>45</v>
      </c>
      <c r="B54" s="30" t="s">
        <v>103</v>
      </c>
      <c r="C54" s="31" t="s">
        <v>104</v>
      </c>
      <c r="D54" s="32" t="s">
        <v>105</v>
      </c>
      <c r="E54" s="36">
        <v>17494</v>
      </c>
      <c r="F54" s="34"/>
      <c r="G54" s="33">
        <f>+ROUND($E54*F54,[1]datoActa!$C$8)</f>
        <v>0</v>
      </c>
      <c r="H54" s="35">
        <f>+'[1]MAYORES Y MENORES'!J54</f>
        <v>822</v>
      </c>
      <c r="I54" s="33">
        <f>+ROUND($E54*H54,[1]datoActa!$C$8)</f>
        <v>14380068</v>
      </c>
      <c r="J54" s="37">
        <v>246</v>
      </c>
      <c r="K54" s="33">
        <f>+ROUND($E54*J54,[1]datoActa!$C$8)</f>
        <v>4303524</v>
      </c>
      <c r="L54" s="37">
        <f>+IF(H54&lt;&gt;"",H54-J54,F54-J54)</f>
        <v>576</v>
      </c>
      <c r="M54" s="33">
        <f>+ROUND($E54*L54,[1]datoActa!$C$8)</f>
        <v>10076544</v>
      </c>
      <c r="O54" s="1" t="str">
        <f t="shared" si="0"/>
        <v>ok</v>
      </c>
    </row>
    <row r="55" spans="1:22" ht="25.5" x14ac:dyDescent="0.2">
      <c r="A55" s="1">
        <v>46</v>
      </c>
      <c r="B55" s="30" t="s">
        <v>106</v>
      </c>
      <c r="C55" s="31" t="s">
        <v>107</v>
      </c>
      <c r="D55" s="32" t="s">
        <v>18</v>
      </c>
      <c r="E55" s="36">
        <v>269643</v>
      </c>
      <c r="F55" s="34"/>
      <c r="G55" s="33">
        <f>+ROUND($E55*F55,[1]datoActa!$C$8)</f>
        <v>0</v>
      </c>
      <c r="H55" s="35">
        <f>+'[1]MAYORES Y MENORES'!J55</f>
        <v>176</v>
      </c>
      <c r="I55" s="33">
        <f>+ROUND($E55*H55,[1]datoActa!$C$8)</f>
        <v>47457168</v>
      </c>
      <c r="J55" s="37">
        <v>122.47999999999999</v>
      </c>
      <c r="K55" s="33">
        <f>+ROUND($E55*J55,[1]datoActa!$C$8)</f>
        <v>33025875</v>
      </c>
      <c r="L55" s="37">
        <f>+IF(H55&lt;&gt;"",H55-J55,F55-J55)</f>
        <v>53.52000000000001</v>
      </c>
      <c r="M55" s="33">
        <f>+ROUND($E55*L55,[1]datoActa!$C$8)</f>
        <v>14431293</v>
      </c>
      <c r="O55" s="1" t="str">
        <f t="shared" si="0"/>
        <v>ok</v>
      </c>
    </row>
    <row r="56" spans="1:22" x14ac:dyDescent="0.2">
      <c r="A56" s="1">
        <v>47</v>
      </c>
      <c r="B56" s="30" t="s">
        <v>108</v>
      </c>
      <c r="C56" s="31" t="s">
        <v>109</v>
      </c>
      <c r="D56" s="32" t="s">
        <v>90</v>
      </c>
      <c r="E56" s="36">
        <v>1511</v>
      </c>
      <c r="F56" s="34"/>
      <c r="G56" s="33">
        <f>+ROUND($E56*F56,[1]datoActa!$C$8)</f>
        <v>0</v>
      </c>
      <c r="H56" s="35">
        <f>+'[1]MAYORES Y MENORES'!J56</f>
        <v>1876.4</v>
      </c>
      <c r="I56" s="33">
        <f>+ROUND($E56*H56,[1]datoActa!$C$8)</f>
        <v>2835240</v>
      </c>
      <c r="J56" s="37">
        <v>0</v>
      </c>
      <c r="K56" s="33">
        <f>+ROUND($E56*J56,[1]datoActa!$C$8)</f>
        <v>0</v>
      </c>
      <c r="L56" s="37">
        <f>+IF(H56&lt;&gt;"",H56-J56,F56-J56)</f>
        <v>1876.4</v>
      </c>
      <c r="M56" s="33">
        <f>+ROUND($E56*L56,[1]datoActa!$C$8)</f>
        <v>2835240</v>
      </c>
      <c r="O56" s="1" t="str">
        <f t="shared" si="0"/>
        <v>ok</v>
      </c>
    </row>
    <row r="57" spans="1:22" ht="27" customHeight="1" x14ac:dyDescent="0.2">
      <c r="A57" s="1">
        <v>48</v>
      </c>
      <c r="B57" s="30" t="s">
        <v>110</v>
      </c>
      <c r="C57" s="31" t="s">
        <v>111</v>
      </c>
      <c r="D57" s="32" t="s">
        <v>90</v>
      </c>
      <c r="E57" s="36">
        <v>27226</v>
      </c>
      <c r="F57" s="34"/>
      <c r="G57" s="33">
        <f>+ROUND($E57*F57,[1]datoActa!$C$8)</f>
        <v>0</v>
      </c>
      <c r="H57" s="35">
        <f>+'[1]MAYORES Y MENORES'!J57</f>
        <v>561.4</v>
      </c>
      <c r="I57" s="33">
        <f>+ROUND($E57*H57,[1]datoActa!$C$8)</f>
        <v>15284676</v>
      </c>
      <c r="J57" s="37">
        <v>406</v>
      </c>
      <c r="K57" s="33">
        <f>+ROUND($E57*J57,[1]datoActa!$C$8)</f>
        <v>11053756</v>
      </c>
      <c r="L57" s="37">
        <f>+IF(H57&lt;&gt;"",H57-J57,F57-J57)</f>
        <v>155.39999999999998</v>
      </c>
      <c r="M57" s="33">
        <f>+ROUND($E57*L57,[1]datoActa!$C$8)</f>
        <v>4230920</v>
      </c>
      <c r="O57" s="1" t="str">
        <f t="shared" si="0"/>
        <v>ok</v>
      </c>
    </row>
    <row r="58" spans="1:22" ht="24" customHeight="1" x14ac:dyDescent="0.2">
      <c r="A58" s="1">
        <v>49</v>
      </c>
      <c r="B58" s="30" t="s">
        <v>112</v>
      </c>
      <c r="C58" s="31" t="s">
        <v>113</v>
      </c>
      <c r="D58" s="32" t="s">
        <v>90</v>
      </c>
      <c r="E58" s="36">
        <v>9487</v>
      </c>
      <c r="F58" s="34"/>
      <c r="G58" s="33">
        <f>+ROUND($E58*F58,[1]datoActa!$C$8)</f>
        <v>0</v>
      </c>
      <c r="H58" s="35">
        <f>+'[1]MAYORES Y MENORES'!J58</f>
        <v>500</v>
      </c>
      <c r="I58" s="33">
        <f>+ROUND($E58*H58,[1]datoActa!$C$8)</f>
        <v>4743500</v>
      </c>
      <c r="J58" s="37">
        <v>480</v>
      </c>
      <c r="K58" s="33">
        <f>+ROUND($E58*J58,[1]datoActa!$C$8)</f>
        <v>4553760</v>
      </c>
      <c r="L58" s="37">
        <f>+IF(H58&lt;&gt;"",H58-J58,F58-J58)</f>
        <v>20</v>
      </c>
      <c r="M58" s="33">
        <f>+ROUND($E58*L58,[1]datoActa!$C$8)</f>
        <v>189740</v>
      </c>
      <c r="O58" s="1" t="str">
        <f t="shared" si="0"/>
        <v>ok</v>
      </c>
    </row>
    <row r="59" spans="1:22" ht="25.5" x14ac:dyDescent="0.2">
      <c r="A59" s="1">
        <v>50</v>
      </c>
      <c r="B59" s="30" t="s">
        <v>114</v>
      </c>
      <c r="C59" s="31" t="s">
        <v>115</v>
      </c>
      <c r="D59" s="32" t="s">
        <v>90</v>
      </c>
      <c r="E59" s="36">
        <v>6547</v>
      </c>
      <c r="F59" s="34"/>
      <c r="G59" s="33">
        <f>+ROUND($E59*F59,[1]datoActa!$C$8)</f>
        <v>0</v>
      </c>
      <c r="H59" s="35">
        <f>+'[1]MAYORES Y MENORES'!J59</f>
        <v>102.2</v>
      </c>
      <c r="I59" s="33">
        <f>+ROUND($E59*H59,[1]datoActa!$C$8)</f>
        <v>669103</v>
      </c>
      <c r="J59" s="37">
        <v>0</v>
      </c>
      <c r="K59" s="33">
        <f>+ROUND($E59*J59,[1]datoActa!$C$8)</f>
        <v>0</v>
      </c>
      <c r="L59" s="37">
        <f>+IF(H59&lt;&gt;"",H59-J59,F59-J59)</f>
        <v>102.2</v>
      </c>
      <c r="M59" s="33">
        <f>+ROUND($E59*L59,[1]datoActa!$C$8)</f>
        <v>669103</v>
      </c>
      <c r="O59" s="1" t="str">
        <f t="shared" si="0"/>
        <v>ok</v>
      </c>
    </row>
    <row r="60" spans="1:22" ht="25.5" x14ac:dyDescent="0.2">
      <c r="A60" s="1">
        <v>51</v>
      </c>
      <c r="B60" s="30" t="s">
        <v>116</v>
      </c>
      <c r="C60" s="31" t="s">
        <v>117</v>
      </c>
      <c r="D60" s="32" t="s">
        <v>118</v>
      </c>
      <c r="E60" s="36">
        <v>5000000</v>
      </c>
      <c r="F60" s="34"/>
      <c r="G60" s="33">
        <f>+ROUND($E60*F60,[1]datoActa!$C$8)</f>
        <v>0</v>
      </c>
      <c r="H60" s="35">
        <f>+'[1]MAYORES Y MENORES'!J60</f>
        <v>1</v>
      </c>
      <c r="I60" s="33">
        <f>+ROUND($E60*H60,[1]datoActa!$C$8)</f>
        <v>5000000</v>
      </c>
      <c r="J60" s="37">
        <v>0</v>
      </c>
      <c r="K60" s="33">
        <f>+ROUND($E60*J60,[1]datoActa!$C$8)</f>
        <v>0</v>
      </c>
      <c r="L60" s="37">
        <f>+IF(H60&lt;&gt;"",H60-J60,F60-J60)</f>
        <v>1</v>
      </c>
      <c r="M60" s="33">
        <f>+ROUND($E60*L60,[1]datoActa!$C$8)</f>
        <v>5000000</v>
      </c>
      <c r="O60" s="1" t="str">
        <f t="shared" si="0"/>
        <v>ok</v>
      </c>
    </row>
    <row r="61" spans="1:22" x14ac:dyDescent="0.2">
      <c r="A61" s="1">
        <v>52</v>
      </c>
      <c r="B61" s="30" t="s">
        <v>119</v>
      </c>
      <c r="C61" s="31" t="s">
        <v>120</v>
      </c>
      <c r="D61" s="32" t="s">
        <v>90</v>
      </c>
      <c r="E61" s="36">
        <v>15369</v>
      </c>
      <c r="F61" s="34"/>
      <c r="G61" s="33">
        <f>+ROUND($E61*F61,[1]datoActa!$C$8)</f>
        <v>0</v>
      </c>
      <c r="H61" s="35">
        <f>+'[1]MAYORES Y MENORES'!J61</f>
        <v>76</v>
      </c>
      <c r="I61" s="33">
        <f>+ROUND($E61*H61,[1]datoActa!$C$8)</f>
        <v>1168044</v>
      </c>
      <c r="J61" s="37">
        <v>6</v>
      </c>
      <c r="K61" s="33">
        <f>+ROUND($E61*J61,[1]datoActa!$C$8)</f>
        <v>92214</v>
      </c>
      <c r="L61" s="37">
        <f>+IF(H61&lt;&gt;"",H61-J61,F61-J61)</f>
        <v>70</v>
      </c>
      <c r="M61" s="33">
        <f>+ROUND($E61*L61,[1]datoActa!$C$8)</f>
        <v>1075830</v>
      </c>
      <c r="O61" s="1" t="str">
        <f t="shared" si="0"/>
        <v>ok</v>
      </c>
    </row>
    <row r="62" spans="1:22" x14ac:dyDescent="0.2">
      <c r="A62" s="1">
        <v>53</v>
      </c>
      <c r="B62" s="30" t="s">
        <v>121</v>
      </c>
      <c r="C62" s="31" t="s">
        <v>122</v>
      </c>
      <c r="D62" s="32" t="s">
        <v>90</v>
      </c>
      <c r="E62" s="36">
        <v>3741</v>
      </c>
      <c r="F62" s="34"/>
      <c r="G62" s="33">
        <f>+ROUND($E62*F62,[1]datoActa!$C$8)</f>
        <v>0</v>
      </c>
      <c r="H62" s="35">
        <f>+'[1]MAYORES Y MENORES'!J62</f>
        <v>1876.4</v>
      </c>
      <c r="I62" s="33">
        <f>+ROUND($E62*H62,[1]datoActa!$C$8)</f>
        <v>7019612</v>
      </c>
      <c r="J62" s="37">
        <v>0</v>
      </c>
      <c r="K62" s="33">
        <f>+ROUND($E62*J62,[1]datoActa!$C$8)</f>
        <v>0</v>
      </c>
      <c r="L62" s="37">
        <f>+IF(H62&lt;&gt;"",H62-J62,F62-J62)</f>
        <v>1876.4</v>
      </c>
      <c r="M62" s="33">
        <f>+ROUND($E62*L62,[1]datoActa!$C$8)</f>
        <v>7019612</v>
      </c>
      <c r="O62" s="1" t="str">
        <f t="shared" si="0"/>
        <v>ok</v>
      </c>
    </row>
    <row r="63" spans="1:22" x14ac:dyDescent="0.2">
      <c r="A63" s="1">
        <v>54</v>
      </c>
      <c r="B63" s="30"/>
      <c r="C63" s="31"/>
      <c r="D63" s="32"/>
      <c r="E63" s="33"/>
      <c r="F63" s="34"/>
      <c r="G63" s="33"/>
      <c r="H63" s="47"/>
      <c r="I63" s="33"/>
      <c r="J63" s="37"/>
      <c r="K63" s="33">
        <f>+ROUND($E63*J63,[1]datoActa!$C$8)</f>
        <v>0</v>
      </c>
      <c r="L63" s="37"/>
      <c r="M63" s="33"/>
      <c r="O63" s="1" t="str">
        <f t="shared" si="0"/>
        <v>ok</v>
      </c>
    </row>
    <row r="64" spans="1:22" s="48" customFormat="1" x14ac:dyDescent="0.2">
      <c r="A64" s="1">
        <v>55</v>
      </c>
      <c r="C64" s="48" t="s">
        <v>123</v>
      </c>
      <c r="I64" s="33">
        <f>+'[1]MAYORES Y MENORES'!K64</f>
        <v>1260</v>
      </c>
      <c r="M64" s="33">
        <f>+I64</f>
        <v>1260</v>
      </c>
      <c r="O64" s="1"/>
      <c r="P64" s="49"/>
      <c r="Q64" s="49"/>
      <c r="R64" s="49"/>
      <c r="S64" s="49"/>
      <c r="T64" s="49"/>
      <c r="U64" s="49"/>
      <c r="V64" s="49"/>
    </row>
    <row r="65" spans="2:22" x14ac:dyDescent="0.2">
      <c r="B65" s="50"/>
      <c r="C65" s="51" t="s">
        <v>124</v>
      </c>
      <c r="D65" s="51"/>
      <c r="E65" s="51"/>
      <c r="F65" s="51"/>
      <c r="G65" s="52">
        <f>+ROUND(G10+G19+G22+G24+G26+G38+G42+G44,0)</f>
        <v>6409205611</v>
      </c>
      <c r="H65" s="51"/>
      <c r="I65" s="52">
        <f>+ROUND(I10+I19+I22+I24+I26+I38+I42+I44+I64,0)</f>
        <v>8209205611</v>
      </c>
      <c r="J65" s="51"/>
      <c r="K65" s="52">
        <f>+ROUND(K10+K19+K22+K24+K26+K38+K42+K44,0)</f>
        <v>4851572669</v>
      </c>
      <c r="L65" s="51"/>
      <c r="M65" s="52">
        <f>+ROUND(M10+M19+M22+M24+M26+M38+M42+M44+M64,0)</f>
        <v>3357632941</v>
      </c>
    </row>
    <row r="66" spans="2:22" x14ac:dyDescent="0.2">
      <c r="B66" s="53"/>
      <c r="C66" s="54"/>
      <c r="D66" s="55"/>
      <c r="E66" s="54"/>
      <c r="F66" s="54"/>
      <c r="G66" s="56">
        <f>+ROUND(G65/1.315,0)</f>
        <v>4873920617</v>
      </c>
      <c r="H66" s="54"/>
      <c r="I66" s="56">
        <f>+ROUND(I65/1.315,0)</f>
        <v>6242741910</v>
      </c>
      <c r="J66" s="54"/>
      <c r="K66" s="56">
        <f>+ROUND(K65/1.315,0)</f>
        <v>3689408874</v>
      </c>
      <c r="L66" s="54"/>
      <c r="M66" s="56">
        <f>+ROUND(M65/1.315,0)</f>
        <v>2553333035</v>
      </c>
    </row>
    <row r="67" spans="2:22" s="48" customFormat="1" x14ac:dyDescent="0.2">
      <c r="C67" s="48" t="s">
        <v>125</v>
      </c>
      <c r="O67" s="1"/>
      <c r="P67" s="49"/>
      <c r="Q67" s="49"/>
      <c r="R67" s="49"/>
      <c r="S67" s="49"/>
      <c r="T67" s="49"/>
      <c r="U67" s="49"/>
      <c r="V67" s="49"/>
    </row>
    <row r="68" spans="2:22" s="48" customFormat="1" x14ac:dyDescent="0.2">
      <c r="B68" s="57"/>
      <c r="C68" s="58" t="s">
        <v>126</v>
      </c>
      <c r="D68" s="59">
        <v>0.25</v>
      </c>
      <c r="E68" s="58"/>
      <c r="F68" s="58"/>
      <c r="G68" s="60">
        <f>+ROUND(G$66*$D68,0)</f>
        <v>1218480154</v>
      </c>
      <c r="H68" s="58"/>
      <c r="I68" s="61">
        <f>+ROUND(I$66*$D68,0)</f>
        <v>1560685478</v>
      </c>
      <c r="J68" s="58"/>
      <c r="K68" s="61">
        <f>+ROUND(K$66*$D68,0)</f>
        <v>922352219</v>
      </c>
      <c r="L68" s="58"/>
      <c r="M68" s="61">
        <f>+ROUND(M$66*$D68,0)</f>
        <v>638333259</v>
      </c>
      <c r="O68" s="1"/>
      <c r="P68" s="49"/>
      <c r="Q68" s="49"/>
      <c r="R68" s="49"/>
      <c r="S68" s="49"/>
      <c r="T68" s="49"/>
      <c r="U68" s="49"/>
      <c r="V68" s="49"/>
    </row>
    <row r="69" spans="2:22" s="48" customFormat="1" x14ac:dyDescent="0.2">
      <c r="B69" s="57"/>
      <c r="C69" s="58" t="s">
        <v>127</v>
      </c>
      <c r="D69" s="59">
        <v>1.2999999999999999E-2</v>
      </c>
      <c r="E69" s="58"/>
      <c r="F69" s="58"/>
      <c r="G69" s="60">
        <f>+ROUND(G$66*$D69,0)</f>
        <v>63360968</v>
      </c>
      <c r="H69" s="58"/>
      <c r="I69" s="61">
        <f t="shared" ref="I69:M70" si="1">+ROUND(I$66*$D69,0)</f>
        <v>81155645</v>
      </c>
      <c r="J69" s="58"/>
      <c r="K69" s="61">
        <f t="shared" si="1"/>
        <v>47962315</v>
      </c>
      <c r="L69" s="58"/>
      <c r="M69" s="61">
        <f t="shared" si="1"/>
        <v>33193329</v>
      </c>
      <c r="O69" s="1"/>
      <c r="P69" s="49"/>
      <c r="Q69" s="49"/>
      <c r="R69" s="49"/>
      <c r="S69" s="49"/>
      <c r="T69" s="49"/>
      <c r="U69" s="49"/>
      <c r="V69" s="49"/>
    </row>
    <row r="70" spans="2:22" s="48" customFormat="1" x14ac:dyDescent="0.2">
      <c r="B70" s="57"/>
      <c r="C70" s="58" t="s">
        <v>128</v>
      </c>
      <c r="D70" s="59">
        <v>5.1999999999999998E-2</v>
      </c>
      <c r="E70" s="58"/>
      <c r="F70" s="58"/>
      <c r="G70" s="60">
        <f>+ROUND(G$66*$D70,0)</f>
        <v>253443872</v>
      </c>
      <c r="H70" s="58"/>
      <c r="I70" s="61">
        <f t="shared" si="1"/>
        <v>324622579</v>
      </c>
      <c r="J70" s="58"/>
      <c r="K70" s="61">
        <f t="shared" si="1"/>
        <v>191849261</v>
      </c>
      <c r="L70" s="58"/>
      <c r="M70" s="61">
        <f t="shared" si="1"/>
        <v>132773318</v>
      </c>
      <c r="O70" s="1"/>
      <c r="P70" s="49"/>
      <c r="Q70" s="49"/>
      <c r="R70" s="49"/>
      <c r="S70" s="49"/>
      <c r="T70" s="49"/>
      <c r="U70" s="49"/>
      <c r="V70" s="49"/>
    </row>
    <row r="71" spans="2:22" s="48" customFormat="1" x14ac:dyDescent="0.2">
      <c r="B71" s="57"/>
      <c r="C71" s="58" t="s">
        <v>129</v>
      </c>
      <c r="D71" s="59">
        <f>SUM(D68:D70)</f>
        <v>0.315</v>
      </c>
      <c r="E71" s="58"/>
      <c r="F71" s="58"/>
      <c r="G71" s="60">
        <f>SUM(G68:G70)</f>
        <v>1535284994</v>
      </c>
      <c r="H71" s="58"/>
      <c r="I71" s="61">
        <f>SUM(I68:I70)</f>
        <v>1966463702</v>
      </c>
      <c r="J71" s="58"/>
      <c r="K71" s="61">
        <f>SUM(K68:K70)</f>
        <v>1162163795</v>
      </c>
      <c r="L71" s="58"/>
      <c r="M71" s="61">
        <f>SUM(M68:M70)</f>
        <v>804299906</v>
      </c>
      <c r="O71" s="1"/>
      <c r="P71" s="49"/>
      <c r="Q71" s="49"/>
      <c r="R71" s="49"/>
      <c r="S71" s="49"/>
      <c r="T71" s="49"/>
      <c r="U71" s="49"/>
      <c r="V71" s="49"/>
    </row>
    <row r="72" spans="2:22" s="5" customFormat="1" ht="6" customHeight="1" x14ac:dyDescent="0.2">
      <c r="E72" s="62"/>
      <c r="G72" s="63"/>
      <c r="O72" s="1"/>
    </row>
    <row r="73" spans="2:22" s="49" customFormat="1" ht="6.75" customHeight="1" x14ac:dyDescent="0.2">
      <c r="B73" s="64"/>
      <c r="C73" s="64"/>
      <c r="D73" s="64"/>
      <c r="E73" s="64"/>
      <c r="F73" s="64"/>
      <c r="G73" s="65"/>
      <c r="H73" s="64"/>
      <c r="I73" s="65"/>
      <c r="J73" s="64"/>
      <c r="K73" s="65"/>
      <c r="L73" s="64"/>
      <c r="M73" s="65"/>
      <c r="O73" s="1"/>
    </row>
    <row r="74" spans="2:22" x14ac:dyDescent="0.2">
      <c r="C74" s="1" t="s">
        <v>130</v>
      </c>
    </row>
    <row r="75" spans="2:22" s="69" customFormat="1" x14ac:dyDescent="0.2">
      <c r="B75" s="66"/>
      <c r="C75" s="67" t="s">
        <v>131</v>
      </c>
      <c r="D75" s="67"/>
      <c r="E75" s="67"/>
      <c r="F75" s="67"/>
      <c r="G75" s="68">
        <v>7491688</v>
      </c>
      <c r="H75" s="67"/>
      <c r="I75" s="68">
        <v>7491688</v>
      </c>
      <c r="J75" s="67"/>
      <c r="K75" s="68">
        <v>0</v>
      </c>
      <c r="L75" s="67"/>
      <c r="M75" s="68">
        <v>7491688</v>
      </c>
      <c r="O75" s="1" t="str">
        <f t="shared" si="0"/>
        <v>ok</v>
      </c>
      <c r="P75" s="70"/>
      <c r="Q75" s="70"/>
      <c r="R75" s="70"/>
      <c r="S75" s="70"/>
      <c r="T75" s="70"/>
      <c r="U75" s="70"/>
      <c r="V75" s="70"/>
    </row>
    <row r="76" spans="2:22" s="69" customFormat="1" x14ac:dyDescent="0.2">
      <c r="B76" s="66"/>
      <c r="C76" s="67" t="s">
        <v>132</v>
      </c>
      <c r="D76" s="67"/>
      <c r="E76" s="67"/>
      <c r="F76" s="67"/>
      <c r="G76" s="68">
        <v>39968314</v>
      </c>
      <c r="H76" s="67"/>
      <c r="I76" s="68">
        <v>39968314</v>
      </c>
      <c r="J76" s="67"/>
      <c r="K76" s="68">
        <v>0</v>
      </c>
      <c r="L76" s="67"/>
      <c r="M76" s="68">
        <v>39968314</v>
      </c>
      <c r="O76" s="1" t="str">
        <f t="shared" si="0"/>
        <v>ok</v>
      </c>
      <c r="P76" s="70"/>
      <c r="Q76" s="70"/>
      <c r="R76" s="70"/>
      <c r="S76" s="70"/>
      <c r="T76" s="70"/>
      <c r="U76" s="70"/>
      <c r="V76" s="70"/>
    </row>
    <row r="77" spans="2:22" s="69" customFormat="1" x14ac:dyDescent="0.2">
      <c r="B77" s="66"/>
      <c r="C77" s="67" t="s">
        <v>133</v>
      </c>
      <c r="D77" s="71" t="s">
        <v>134</v>
      </c>
      <c r="E77" s="72">
        <v>776000</v>
      </c>
      <c r="F77" s="71">
        <v>11.553000000000001</v>
      </c>
      <c r="G77" s="68">
        <f>+ROUND($E77*F77,0)</f>
        <v>8965128</v>
      </c>
      <c r="H77" s="67">
        <v>11.553000000000001</v>
      </c>
      <c r="I77" s="68">
        <f>+ROUND($E77*H77,0)</f>
        <v>8965128</v>
      </c>
      <c r="J77" s="67">
        <v>0</v>
      </c>
      <c r="K77" s="68">
        <v>0</v>
      </c>
      <c r="L77" s="67">
        <v>11.553000000000001</v>
      </c>
      <c r="M77" s="68">
        <v>8965128</v>
      </c>
      <c r="O77" s="1" t="str">
        <f t="shared" si="0"/>
        <v>ok</v>
      </c>
      <c r="P77" s="70"/>
      <c r="Q77" s="70"/>
      <c r="R77" s="70"/>
      <c r="S77" s="70"/>
      <c r="T77" s="70"/>
      <c r="U77" s="70"/>
      <c r="V77" s="70"/>
    </row>
    <row r="79" spans="2:22" x14ac:dyDescent="0.2">
      <c r="B79" s="73"/>
      <c r="C79" s="74" t="s">
        <v>13</v>
      </c>
      <c r="D79" s="74"/>
      <c r="E79" s="74"/>
      <c r="F79" s="74"/>
      <c r="G79" s="75">
        <f>+G65+G75+G76+G77</f>
        <v>6465630741</v>
      </c>
      <c r="H79" s="74"/>
      <c r="I79" s="75">
        <f>+I65+I75+I76+I77</f>
        <v>8265630741</v>
      </c>
      <c r="J79" s="74"/>
      <c r="K79" s="75">
        <f>+K65+K75+K76+K77</f>
        <v>4851572669</v>
      </c>
      <c r="L79" s="74"/>
      <c r="M79" s="75">
        <f>+M65+M75+M76+M77</f>
        <v>3414058071</v>
      </c>
      <c r="N79" s="76">
        <f>+G79-K79</f>
        <v>1614058072</v>
      </c>
      <c r="O79" s="1" t="str">
        <f>+IF(M79=N79,"ok","malo")</f>
        <v>malo</v>
      </c>
    </row>
    <row r="80" spans="2:22" x14ac:dyDescent="0.2">
      <c r="G80" s="77"/>
      <c r="I80" s="77"/>
      <c r="K80" s="77"/>
      <c r="M80" s="77"/>
      <c r="O80" s="78">
        <f>+SUMIF(O10:O78,"MALO",M10:M78)</f>
        <v>0</v>
      </c>
    </row>
    <row r="81" spans="2:14" x14ac:dyDescent="0.2">
      <c r="B81" s="5"/>
      <c r="C81" s="5"/>
      <c r="D81" s="5"/>
      <c r="E81" s="5"/>
      <c r="F81" s="5"/>
      <c r="G81" s="79"/>
      <c r="H81" s="5"/>
      <c r="I81" s="79"/>
      <c r="J81" s="5"/>
      <c r="K81" s="79"/>
      <c r="L81" s="5"/>
      <c r="M81" s="79"/>
      <c r="N81" s="5"/>
    </row>
    <row r="82" spans="2:14" x14ac:dyDescent="0.2">
      <c r="B82" s="5"/>
      <c r="C82" s="5"/>
      <c r="D82" s="5"/>
      <c r="E82" s="5"/>
      <c r="F82" s="5"/>
      <c r="G82" s="79"/>
      <c r="H82" s="5"/>
      <c r="I82" s="79"/>
      <c r="J82" s="5"/>
      <c r="K82" s="79"/>
      <c r="L82" s="5"/>
      <c r="M82" s="79"/>
      <c r="N82" s="5"/>
    </row>
    <row r="83" spans="2:14" x14ac:dyDescent="0.2">
      <c r="B83" s="5"/>
      <c r="C83" s="5"/>
      <c r="D83" s="5"/>
      <c r="E83" s="5"/>
      <c r="F83" s="5"/>
      <c r="G83" s="79"/>
      <c r="H83" s="5"/>
      <c r="I83" s="79"/>
      <c r="J83" s="5"/>
      <c r="K83" s="79"/>
      <c r="L83" s="5"/>
      <c r="M83" s="79"/>
      <c r="N83" s="5"/>
    </row>
    <row r="85" spans="2:14" x14ac:dyDescent="0.2">
      <c r="C85" s="80"/>
      <c r="H85" s="81"/>
      <c r="I85" s="81"/>
    </row>
    <row r="86" spans="2:14" x14ac:dyDescent="0.2">
      <c r="B86" s="82">
        <v>3</v>
      </c>
      <c r="C86" s="83" t="str">
        <f>+LOOKUP(B86,[1]datoActa!$F$13:$F$16,[1]datoActa!$H$13:$H$16)</f>
        <v>JIMMY BERNAL SALAS</v>
      </c>
      <c r="H86" s="83" t="s">
        <v>135</v>
      </c>
      <c r="I86" s="83"/>
    </row>
    <row r="87" spans="2:14" x14ac:dyDescent="0.2">
      <c r="C87" s="1" t="str">
        <f>+LOOKUP(B86,[1]datoActa!$F$13:$F$16,[1]datoActa!$I$13:$I$16)</f>
        <v>C.C.:13.507.139</v>
      </c>
      <c r="H87" s="1" t="s">
        <v>136</v>
      </c>
    </row>
    <row r="88" spans="2:14" x14ac:dyDescent="0.2">
      <c r="C88" s="1" t="str">
        <f>+LOOKUP(B86,[1]datoActa!$F$13:$F$16,[1]datoActa!$G$13:$G$16)</f>
        <v>DIRECTOR DE OBRA</v>
      </c>
      <c r="H88" s="1" t="s">
        <v>137</v>
      </c>
    </row>
    <row r="89" spans="2:14" x14ac:dyDescent="0.2">
      <c r="C89" s="1" t="s">
        <v>138</v>
      </c>
      <c r="H89" s="1" t="s">
        <v>139</v>
      </c>
    </row>
    <row r="92" spans="2:14" x14ac:dyDescent="0.2">
      <c r="C92" s="84"/>
    </row>
  </sheetData>
  <mergeCells count="12">
    <mergeCell ref="P8:Q8"/>
    <mergeCell ref="R8:S8"/>
    <mergeCell ref="T8:U8"/>
    <mergeCell ref="B1:M1"/>
    <mergeCell ref="B2:M2"/>
    <mergeCell ref="B3:M3"/>
    <mergeCell ref="B4:M4"/>
    <mergeCell ref="B5:M5"/>
    <mergeCell ref="F8:G8"/>
    <mergeCell ref="H8:I8"/>
    <mergeCell ref="J8:K8"/>
    <mergeCell ref="L8:M8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50" orientation="portrait" r:id="rId1"/>
  <rowBreaks count="1" manualBreakCount="1">
    <brk id="47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ACTA</vt:lpstr>
      <vt:lpstr>ACTA!Área_de_impresión</vt:lpstr>
      <vt:lpstr>ACTA!Títulos_a_imprimir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</dc:creator>
  <cp:lastModifiedBy>GERSON</cp:lastModifiedBy>
  <dcterms:created xsi:type="dcterms:W3CDTF">2021-11-03T17:57:08Z</dcterms:created>
  <dcterms:modified xsi:type="dcterms:W3CDTF">2021-11-03T17:58:00Z</dcterms:modified>
</cp:coreProperties>
</file>